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1\AED_Data\AED Share Files\2017\ODA data\(ຂຶ້ນ ເວບໄຊສ)ສັງລວມ ຊ.ກ.ພ ກະຊວງ, ແຂວງ\"/>
    </mc:Choice>
  </mc:AlternateContent>
  <bookViews>
    <workbookView xWindow="0" yWindow="0" windowWidth="24000" windowHeight="9135"/>
  </bookViews>
  <sheets>
    <sheet name="ມູນຄ່າຫຼາຍກວ່າ 20ຕື້ກີບ" sheetId="7" r:id="rId1"/>
    <sheet name="ມູນຄ່າໜ້ອຍກວ່າ 20ຕື້ກີບ" sheetId="8" r:id="rId2"/>
  </sheets>
  <definedNames>
    <definedName name="_xlnm._FilterDatabase" localSheetId="0" hidden="1">'ມູນຄ່າຫຼາຍກວ່າ 20ຕື້ກີບ'!$A$9:$WWU$36</definedName>
    <definedName name="_xlnm._FilterDatabase" localSheetId="1" hidden="1">'ມູນຄ່າໜ້ອຍກວ່າ 20ຕື້ກີບ'!$A$9:$WWT$187</definedName>
    <definedName name="_xlnm.Print_Area" localSheetId="0">'ມູນຄ່າຫຼາຍກວ່າ 20ຕື້ກີບ'!$A$2:$AI$38</definedName>
    <definedName name="_xlnm.Print_Area" localSheetId="1">'ມູນຄ່າໜ້ອຍກວ່າ 20ຕື້ກີບ'!$A$2:$AH$188</definedName>
    <definedName name="_xlnm.Print_Titles" localSheetId="0">'ມູນຄ່າຫຼາຍກວ່າ 20ຕື້ກີບ'!$4:$9</definedName>
    <definedName name="_xlnm.Print_Titles" localSheetId="1">'ມູນຄ່າໜ້ອຍກວ່າ 20ຕື້ກີບ'!$4:$9</definedName>
  </definedNames>
  <calcPr calcId="152511"/>
</workbook>
</file>

<file path=xl/calcChain.xml><?xml version="1.0" encoding="utf-8"?>
<calcChain xmlns="http://schemas.openxmlformats.org/spreadsheetml/2006/main">
  <c r="AE38" i="7" l="1"/>
  <c r="AF37" i="7" l="1"/>
  <c r="AG37" i="7"/>
  <c r="S37" i="7"/>
  <c r="T37" i="7"/>
  <c r="U37" i="7"/>
  <c r="V37" i="7"/>
  <c r="W37" i="7"/>
  <c r="X37" i="7"/>
  <c r="Y37" i="7"/>
  <c r="Z37" i="7"/>
  <c r="AA37" i="7"/>
  <c r="AB37" i="7"/>
  <c r="AC37" i="7"/>
  <c r="AD37" i="7"/>
  <c r="P37" i="7"/>
  <c r="Q37" i="7"/>
  <c r="L37" i="7"/>
  <c r="M37" i="7"/>
  <c r="N37" i="7"/>
  <c r="AE188" i="8"/>
  <c r="S188" i="8"/>
  <c r="T188" i="8"/>
  <c r="U188" i="8"/>
  <c r="V188" i="8"/>
  <c r="W188" i="8"/>
  <c r="X188" i="8"/>
  <c r="Y188" i="8"/>
  <c r="Z188" i="8"/>
  <c r="AA188" i="8"/>
  <c r="AB188" i="8"/>
  <c r="AC188" i="8"/>
  <c r="P188" i="8"/>
  <c r="Q188" i="8"/>
  <c r="L188" i="8"/>
  <c r="M188" i="8"/>
  <c r="N188" i="8"/>
  <c r="M39" i="7" l="1"/>
  <c r="U39" i="7"/>
  <c r="V39" i="7"/>
  <c r="W39" i="7"/>
  <c r="X39" i="7"/>
  <c r="Y39" i="7"/>
  <c r="Z39" i="7"/>
  <c r="AA39" i="7"/>
  <c r="J188" i="8"/>
  <c r="R37" i="7"/>
  <c r="O188" i="8"/>
  <c r="R188" i="8"/>
  <c r="AD188" i="8"/>
  <c r="K188" i="8"/>
  <c r="AE37" i="7"/>
  <c r="O37" i="7"/>
  <c r="J37" i="7"/>
  <c r="K37" i="7"/>
  <c r="AC187" i="8"/>
  <c r="AE187" i="8" s="1"/>
  <c r="Y187" i="8"/>
  <c r="V187" i="8"/>
  <c r="U187" i="8"/>
  <c r="Q187" i="8"/>
  <c r="X187" i="8" s="1"/>
  <c r="P187" i="8"/>
  <c r="L187" i="8"/>
  <c r="AC186" i="8"/>
  <c r="AE186" i="8" s="1"/>
  <c r="Y186" i="8"/>
  <c r="V186" i="8"/>
  <c r="Q186" i="8"/>
  <c r="P186" i="8"/>
  <c r="L186" i="8"/>
  <c r="AC185" i="8"/>
  <c r="AE185" i="8" s="1"/>
  <c r="Y185" i="8"/>
  <c r="V185" i="8"/>
  <c r="Q185" i="8"/>
  <c r="T185" i="8" s="1"/>
  <c r="P185" i="8"/>
  <c r="L185" i="8"/>
  <c r="AC184" i="8"/>
  <c r="AE184" i="8" s="1"/>
  <c r="Y184" i="8"/>
  <c r="V184" i="8"/>
  <c r="Q184" i="8"/>
  <c r="P184" i="8"/>
  <c r="L184" i="8"/>
  <c r="AC183" i="8"/>
  <c r="AE183" i="8" s="1"/>
  <c r="Y183" i="8"/>
  <c r="V183" i="8"/>
  <c r="Q183" i="8"/>
  <c r="T183" i="8" s="1"/>
  <c r="P183" i="8"/>
  <c r="L183" i="8"/>
  <c r="AC182" i="8"/>
  <c r="AE182" i="8" s="1"/>
  <c r="Y182" i="8"/>
  <c r="V182" i="8"/>
  <c r="Q182" i="8"/>
  <c r="P182" i="8"/>
  <c r="L182" i="8"/>
  <c r="AC181" i="8"/>
  <c r="AE181" i="8" s="1"/>
  <c r="Y181" i="8"/>
  <c r="V181" i="8"/>
  <c r="Q181" i="8"/>
  <c r="X181" i="8" s="1"/>
  <c r="P181" i="8"/>
  <c r="L181" i="8"/>
  <c r="AC180" i="8"/>
  <c r="AE180" i="8" s="1"/>
  <c r="Y180" i="8"/>
  <c r="V180" i="8"/>
  <c r="Q180" i="8"/>
  <c r="P180" i="8"/>
  <c r="L180" i="8"/>
  <c r="AC179" i="8"/>
  <c r="AE179" i="8" s="1"/>
  <c r="Y179" i="8"/>
  <c r="V179" i="8"/>
  <c r="Q179" i="8"/>
  <c r="T179" i="8" s="1"/>
  <c r="P179" i="8"/>
  <c r="L179" i="8"/>
  <c r="AC178" i="8"/>
  <c r="AE178" i="8" s="1"/>
  <c r="Y178" i="8"/>
  <c r="V178" i="8"/>
  <c r="Q178" i="8"/>
  <c r="P178" i="8"/>
  <c r="L178" i="8"/>
  <c r="AC177" i="8"/>
  <c r="AE177" i="8" s="1"/>
  <c r="Y177" i="8"/>
  <c r="V177" i="8"/>
  <c r="Q177" i="8"/>
  <c r="T177" i="8" s="1"/>
  <c r="L177" i="8"/>
  <c r="AC176" i="8"/>
  <c r="AE176" i="8" s="1"/>
  <c r="Y176" i="8"/>
  <c r="X176" i="8"/>
  <c r="V176" i="8"/>
  <c r="U176" i="8"/>
  <c r="T176" i="8"/>
  <c r="L176" i="8"/>
  <c r="AC175" i="8"/>
  <c r="AE175" i="8" s="1"/>
  <c r="Y175" i="8"/>
  <c r="V175" i="8"/>
  <c r="T175" i="8"/>
  <c r="P175" i="8"/>
  <c r="P174" i="8" s="1"/>
  <c r="N175" i="8"/>
  <c r="J175" i="8"/>
  <c r="U175" i="8" s="1"/>
  <c r="AD174" i="8"/>
  <c r="AD162" i="8" s="1"/>
  <c r="AB174" i="8"/>
  <c r="AA174" i="8"/>
  <c r="AA162" i="8" s="1"/>
  <c r="S174" i="8"/>
  <c r="S162" i="8" s="1"/>
  <c r="R174" i="8"/>
  <c r="R162" i="8" s="1"/>
  <c r="O174" i="8"/>
  <c r="O162" i="8" s="1"/>
  <c r="K174" i="8"/>
  <c r="K162" i="8" s="1"/>
  <c r="AC173" i="8"/>
  <c r="AE173" i="8" s="1"/>
  <c r="Y173" i="8"/>
  <c r="V173" i="8"/>
  <c r="Q173" i="8"/>
  <c r="U173" i="8" s="1"/>
  <c r="P173" i="8"/>
  <c r="L173" i="8"/>
  <c r="AC172" i="8"/>
  <c r="AE172" i="8" s="1"/>
  <c r="Y172" i="8"/>
  <c r="V172" i="8"/>
  <c r="Q172" i="8"/>
  <c r="X172" i="8" s="1"/>
  <c r="P172" i="8"/>
  <c r="L172" i="8"/>
  <c r="AC171" i="8"/>
  <c r="AE171" i="8" s="1"/>
  <c r="Y171" i="8"/>
  <c r="V171" i="8"/>
  <c r="Q171" i="8"/>
  <c r="X171" i="8" s="1"/>
  <c r="P171" i="8"/>
  <c r="L171" i="8"/>
  <c r="AC170" i="8"/>
  <c r="AE170" i="8" s="1"/>
  <c r="Y170" i="8"/>
  <c r="V170" i="8"/>
  <c r="Q170" i="8"/>
  <c r="X170" i="8" s="1"/>
  <c r="P170" i="8"/>
  <c r="L170" i="8"/>
  <c r="AB169" i="8"/>
  <c r="AC169" i="8" s="1"/>
  <c r="AE169" i="8" s="1"/>
  <c r="Y169" i="8"/>
  <c r="V169" i="8"/>
  <c r="Q169" i="8"/>
  <c r="T169" i="8" s="1"/>
  <c r="P169" i="8"/>
  <c r="L169" i="8"/>
  <c r="AC168" i="8"/>
  <c r="AE168" i="8" s="1"/>
  <c r="Y168" i="8"/>
  <c r="V168" i="8"/>
  <c r="Q168" i="8"/>
  <c r="P168" i="8"/>
  <c r="L168" i="8"/>
  <c r="AC167" i="8"/>
  <c r="AE167" i="8" s="1"/>
  <c r="Y167" i="8"/>
  <c r="V167" i="8"/>
  <c r="Q167" i="8"/>
  <c r="T167" i="8" s="1"/>
  <c r="P167" i="8"/>
  <c r="L167" i="8"/>
  <c r="AC166" i="8"/>
  <c r="AE166" i="8" s="1"/>
  <c r="Y166" i="8"/>
  <c r="V166" i="8"/>
  <c r="Q166" i="8"/>
  <c r="P166" i="8"/>
  <c r="L166" i="8"/>
  <c r="AC165" i="8"/>
  <c r="AE165" i="8" s="1"/>
  <c r="Y165" i="8"/>
  <c r="V165" i="8"/>
  <c r="Q165" i="8"/>
  <c r="X165" i="8" s="1"/>
  <c r="P165" i="8"/>
  <c r="L165" i="8"/>
  <c r="AC164" i="8"/>
  <c r="Y164" i="8"/>
  <c r="V164" i="8"/>
  <c r="Q164" i="8"/>
  <c r="P164" i="8"/>
  <c r="L164" i="8"/>
  <c r="AC163" i="8"/>
  <c r="AE163" i="8" s="1"/>
  <c r="Y163" i="8"/>
  <c r="V163" i="8"/>
  <c r="Q163" i="8"/>
  <c r="T163" i="8" s="1"/>
  <c r="P163" i="8"/>
  <c r="L163" i="8"/>
  <c r="F162" i="8"/>
  <c r="AB161" i="8"/>
  <c r="AC161" i="8" s="1"/>
  <c r="AE161" i="8" s="1"/>
  <c r="Z161" i="8"/>
  <c r="W161" i="8"/>
  <c r="T161" i="8"/>
  <c r="P161" i="8"/>
  <c r="L161" i="8"/>
  <c r="AB160" i="8"/>
  <c r="AC160" i="8" s="1"/>
  <c r="AE160" i="8" s="1"/>
  <c r="Z160" i="8"/>
  <c r="W160" i="8"/>
  <c r="T160" i="8"/>
  <c r="P160" i="8"/>
  <c r="L160" i="8"/>
  <c r="AB159" i="8"/>
  <c r="AC159" i="8" s="1"/>
  <c r="AE159" i="8" s="1"/>
  <c r="Z159" i="8"/>
  <c r="W159" i="8"/>
  <c r="T159" i="8"/>
  <c r="P159" i="8"/>
  <c r="L159" i="8"/>
  <c r="AB158" i="8"/>
  <c r="AC158" i="8" s="1"/>
  <c r="AE158" i="8" s="1"/>
  <c r="Z158" i="8"/>
  <c r="W158" i="8"/>
  <c r="T158" i="8"/>
  <c r="P158" i="8"/>
  <c r="L158" i="8"/>
  <c r="AB157" i="8"/>
  <c r="AC157" i="8" s="1"/>
  <c r="AE157" i="8" s="1"/>
  <c r="Z157" i="8"/>
  <c r="W157" i="8"/>
  <c r="T157" i="8"/>
  <c r="P157" i="8"/>
  <c r="L157" i="8"/>
  <c r="AB156" i="8"/>
  <c r="AC156" i="8" s="1"/>
  <c r="AE156" i="8" s="1"/>
  <c r="Z156" i="8"/>
  <c r="W156" i="8"/>
  <c r="T156" i="8"/>
  <c r="P156" i="8"/>
  <c r="L156" i="8"/>
  <c r="AB155" i="8"/>
  <c r="AC155" i="8" s="1"/>
  <c r="Z155" i="8"/>
  <c r="W155" i="8"/>
  <c r="T155" i="8"/>
  <c r="P155" i="8"/>
  <c r="L155" i="8"/>
  <c r="AC154" i="8"/>
  <c r="AE154" i="8" s="1"/>
  <c r="Z154" i="8"/>
  <c r="W154" i="8"/>
  <c r="T154" i="8"/>
  <c r="P154" i="8"/>
  <c r="L154" i="8"/>
  <c r="AC153" i="8"/>
  <c r="AE153" i="8" s="1"/>
  <c r="Z153" i="8"/>
  <c r="W153" i="8"/>
  <c r="T153" i="8"/>
  <c r="P153" i="8"/>
  <c r="L153" i="8"/>
  <c r="AC152" i="8"/>
  <c r="AE152" i="8" s="1"/>
  <c r="Z152" i="8"/>
  <c r="W152" i="8"/>
  <c r="T152" i="8"/>
  <c r="P152" i="8"/>
  <c r="L152" i="8"/>
  <c r="AC151" i="8"/>
  <c r="AE151" i="8" s="1"/>
  <c r="Z151" i="8"/>
  <c r="W151" i="8"/>
  <c r="T151" i="8"/>
  <c r="P151" i="8"/>
  <c r="L151" i="8"/>
  <c r="AC150" i="8"/>
  <c r="AE150" i="8" s="1"/>
  <c r="Y150" i="8"/>
  <c r="X150" i="8"/>
  <c r="V150" i="8"/>
  <c r="U150" i="8"/>
  <c r="T150" i="8"/>
  <c r="P150" i="8"/>
  <c r="L150" i="8"/>
  <c r="AC149" i="8"/>
  <c r="AE149" i="8" s="1"/>
  <c r="Y149" i="8"/>
  <c r="V149" i="8"/>
  <c r="Q149" i="8"/>
  <c r="P149" i="8"/>
  <c r="L149" i="8"/>
  <c r="AC148" i="8"/>
  <c r="AE148" i="8" s="1"/>
  <c r="Y148" i="8"/>
  <c r="V148" i="8"/>
  <c r="Q148" i="8"/>
  <c r="P148" i="8"/>
  <c r="L148" i="8"/>
  <c r="AC147" i="8"/>
  <c r="AE147" i="8" s="1"/>
  <c r="Y147" i="8"/>
  <c r="V147" i="8"/>
  <c r="Q147" i="8"/>
  <c r="X147" i="8" s="1"/>
  <c r="P147" i="8"/>
  <c r="L147" i="8"/>
  <c r="AC146" i="8"/>
  <c r="AE146" i="8" s="1"/>
  <c r="Y146" i="8"/>
  <c r="V146" i="8"/>
  <c r="Q146" i="8"/>
  <c r="X146" i="8" s="1"/>
  <c r="P146" i="8"/>
  <c r="L146" i="8"/>
  <c r="AC145" i="8"/>
  <c r="AE145" i="8" s="1"/>
  <c r="Y145" i="8"/>
  <c r="V145" i="8"/>
  <c r="Q145" i="8"/>
  <c r="P145" i="8"/>
  <c r="L145" i="8"/>
  <c r="AC144" i="8"/>
  <c r="AE144" i="8" s="1"/>
  <c r="Y144" i="8"/>
  <c r="V144" i="8"/>
  <c r="Q144" i="8"/>
  <c r="P144" i="8"/>
  <c r="L144" i="8"/>
  <c r="AC143" i="8"/>
  <c r="AE143" i="8" s="1"/>
  <c r="Y143" i="8"/>
  <c r="V143" i="8"/>
  <c r="Q143" i="8"/>
  <c r="P143" i="8"/>
  <c r="L143" i="8"/>
  <c r="AC142" i="8"/>
  <c r="AE142" i="8" s="1"/>
  <c r="Y142" i="8"/>
  <c r="V142" i="8"/>
  <c r="Q142" i="8"/>
  <c r="X142" i="8" s="1"/>
  <c r="P142" i="8"/>
  <c r="L142" i="8"/>
  <c r="AC141" i="8"/>
  <c r="AE141" i="8" s="1"/>
  <c r="Y141" i="8"/>
  <c r="V141" i="8"/>
  <c r="Q141" i="8"/>
  <c r="X141" i="8" s="1"/>
  <c r="Z141" i="8" s="1"/>
  <c r="P141" i="8"/>
  <c r="L141" i="8"/>
  <c r="AC140" i="8"/>
  <c r="AE140" i="8" s="1"/>
  <c r="Y140" i="8"/>
  <c r="V140" i="8"/>
  <c r="Q140" i="8"/>
  <c r="X140" i="8" s="1"/>
  <c r="P140" i="8"/>
  <c r="L140" i="8"/>
  <c r="AC139" i="8"/>
  <c r="AE139" i="8" s="1"/>
  <c r="Y139" i="8"/>
  <c r="V139" i="8"/>
  <c r="Q139" i="8"/>
  <c r="P139" i="8"/>
  <c r="L139" i="8"/>
  <c r="AC138" i="8"/>
  <c r="AE138" i="8" s="1"/>
  <c r="Y138" i="8"/>
  <c r="V138" i="8"/>
  <c r="Q138" i="8"/>
  <c r="X138" i="8" s="1"/>
  <c r="P138" i="8"/>
  <c r="L138" i="8"/>
  <c r="AC137" i="8"/>
  <c r="AE137" i="8" s="1"/>
  <c r="Y137" i="8"/>
  <c r="V137" i="8"/>
  <c r="Q137" i="8"/>
  <c r="X137" i="8" s="1"/>
  <c r="Z137" i="8" s="1"/>
  <c r="P137" i="8"/>
  <c r="L137" i="8"/>
  <c r="AC136" i="8"/>
  <c r="AE136" i="8" s="1"/>
  <c r="Y136" i="8"/>
  <c r="V136" i="8"/>
  <c r="Q136" i="8"/>
  <c r="X136" i="8" s="1"/>
  <c r="P136" i="8"/>
  <c r="L136" i="8"/>
  <c r="AC135" i="8"/>
  <c r="AE135" i="8" s="1"/>
  <c r="Y135" i="8"/>
  <c r="V135" i="8"/>
  <c r="Q135" i="8"/>
  <c r="X135" i="8" s="1"/>
  <c r="P135" i="8"/>
  <c r="L135" i="8"/>
  <c r="AC134" i="8"/>
  <c r="Y134" i="8"/>
  <c r="V134" i="8"/>
  <c r="Q134" i="8"/>
  <c r="P134" i="8"/>
  <c r="L134" i="8"/>
  <c r="AC133" i="8"/>
  <c r="AE133" i="8" s="1"/>
  <c r="T133" i="8"/>
  <c r="P133" i="8"/>
  <c r="L133" i="8"/>
  <c r="AC132" i="8"/>
  <c r="AE132" i="8" s="1"/>
  <c r="Y132" i="8"/>
  <c r="V132" i="8"/>
  <c r="Q132" i="8"/>
  <c r="X132" i="8" s="1"/>
  <c r="P132" i="8"/>
  <c r="L132" i="8"/>
  <c r="AC131" i="8"/>
  <c r="AE131" i="8" s="1"/>
  <c r="Y131" i="8"/>
  <c r="V131" i="8"/>
  <c r="Q131" i="8"/>
  <c r="T131" i="8" s="1"/>
  <c r="P131" i="8"/>
  <c r="L131" i="8"/>
  <c r="AC130" i="8"/>
  <c r="AE130" i="8" s="1"/>
  <c r="Y130" i="8"/>
  <c r="V130" i="8"/>
  <c r="Q130" i="8"/>
  <c r="X130" i="8" s="1"/>
  <c r="P130" i="8"/>
  <c r="L130" i="8"/>
  <c r="AC129" i="8"/>
  <c r="AE129" i="8" s="1"/>
  <c r="Y129" i="8"/>
  <c r="X129" i="8"/>
  <c r="V129" i="8"/>
  <c r="U129" i="8"/>
  <c r="T129" i="8"/>
  <c r="P129" i="8"/>
  <c r="L129" i="8"/>
  <c r="AC128" i="8"/>
  <c r="AE128" i="8" s="1"/>
  <c r="Y128" i="8"/>
  <c r="X128" i="8"/>
  <c r="V128" i="8"/>
  <c r="U128" i="8"/>
  <c r="T128" i="8"/>
  <c r="P128" i="8"/>
  <c r="L128" i="8"/>
  <c r="AC127" i="8"/>
  <c r="AE127" i="8" s="1"/>
  <c r="Y127" i="8"/>
  <c r="X127" i="8"/>
  <c r="V127" i="8"/>
  <c r="U127" i="8"/>
  <c r="T127" i="8"/>
  <c r="P127" i="8"/>
  <c r="L127" i="8"/>
  <c r="AC126" i="8"/>
  <c r="AE126" i="8" s="1"/>
  <c r="Y126" i="8"/>
  <c r="X126" i="8"/>
  <c r="V126" i="8"/>
  <c r="U126" i="8"/>
  <c r="T126" i="8"/>
  <c r="P126" i="8"/>
  <c r="L126" i="8"/>
  <c r="AC125" i="8"/>
  <c r="AE125" i="8" s="1"/>
  <c r="Y125" i="8"/>
  <c r="V125" i="8"/>
  <c r="Q125" i="8"/>
  <c r="X125" i="8" s="1"/>
  <c r="P125" i="8"/>
  <c r="L125" i="8"/>
  <c r="AC124" i="8"/>
  <c r="AE124" i="8" s="1"/>
  <c r="Y124" i="8"/>
  <c r="V124" i="8"/>
  <c r="Q124" i="8"/>
  <c r="U124" i="8" s="1"/>
  <c r="P124" i="8"/>
  <c r="L124" i="8"/>
  <c r="AC123" i="8"/>
  <c r="AE123" i="8" s="1"/>
  <c r="Y123" i="8"/>
  <c r="V123" i="8"/>
  <c r="Q123" i="8"/>
  <c r="T123" i="8" s="1"/>
  <c r="P123" i="8"/>
  <c r="L123" i="8"/>
  <c r="AC122" i="8"/>
  <c r="AE122" i="8" s="1"/>
  <c r="Y122" i="8"/>
  <c r="V122" i="8"/>
  <c r="Q122" i="8"/>
  <c r="U122" i="8" s="1"/>
  <c r="P122" i="8"/>
  <c r="L122" i="8"/>
  <c r="AC121" i="8"/>
  <c r="AE121" i="8" s="1"/>
  <c r="Y121" i="8"/>
  <c r="V121" i="8"/>
  <c r="Q121" i="8"/>
  <c r="P121" i="8"/>
  <c r="L121" i="8"/>
  <c r="AC120" i="8"/>
  <c r="AE120" i="8" s="1"/>
  <c r="Y120" i="8"/>
  <c r="V120" i="8"/>
  <c r="Q120" i="8"/>
  <c r="P120" i="8"/>
  <c r="L120" i="8"/>
  <c r="AC119" i="8"/>
  <c r="AE119" i="8" s="1"/>
  <c r="Y119" i="8"/>
  <c r="V119" i="8"/>
  <c r="Q119" i="8"/>
  <c r="U119" i="8" s="1"/>
  <c r="P119" i="8"/>
  <c r="L119" i="8"/>
  <c r="AC118" i="8"/>
  <c r="AE118" i="8" s="1"/>
  <c r="Y118" i="8"/>
  <c r="X118" i="8"/>
  <c r="V118" i="8"/>
  <c r="U118" i="8"/>
  <c r="T118" i="8"/>
  <c r="P118" i="8"/>
  <c r="L118" i="8"/>
  <c r="AC117" i="8"/>
  <c r="AE117" i="8" s="1"/>
  <c r="Y117" i="8"/>
  <c r="V117" i="8"/>
  <c r="Q117" i="8"/>
  <c r="N117" i="8"/>
  <c r="L117" i="8"/>
  <c r="AC116" i="8"/>
  <c r="AE116" i="8" s="1"/>
  <c r="Y116" i="8"/>
  <c r="V116" i="8"/>
  <c r="Q116" i="8"/>
  <c r="X116" i="8" s="1"/>
  <c r="P116" i="8"/>
  <c r="J116" i="8"/>
  <c r="AC115" i="8"/>
  <c r="AE115" i="8" s="1"/>
  <c r="Y115" i="8"/>
  <c r="V115" i="8"/>
  <c r="Q115" i="8"/>
  <c r="T115" i="8" s="1"/>
  <c r="P115" i="8"/>
  <c r="L115" i="8"/>
  <c r="AC114" i="8"/>
  <c r="AE114" i="8" s="1"/>
  <c r="Y114" i="8"/>
  <c r="V114" i="8"/>
  <c r="Q114" i="8"/>
  <c r="X114" i="8" s="1"/>
  <c r="P114" i="8"/>
  <c r="L114" i="8"/>
  <c r="AC113" i="8"/>
  <c r="AE113" i="8" s="1"/>
  <c r="Y113" i="8"/>
  <c r="V113" i="8"/>
  <c r="Q113" i="8"/>
  <c r="T113" i="8" s="1"/>
  <c r="P113" i="8"/>
  <c r="L113" i="8"/>
  <c r="AC112" i="8"/>
  <c r="AE112" i="8" s="1"/>
  <c r="Y112" i="8"/>
  <c r="V112" i="8"/>
  <c r="Q112" i="8"/>
  <c r="X112" i="8" s="1"/>
  <c r="P112" i="8"/>
  <c r="L112" i="8"/>
  <c r="AC111" i="8"/>
  <c r="AE111" i="8" s="1"/>
  <c r="Y111" i="8"/>
  <c r="V111" i="8"/>
  <c r="Q111" i="8"/>
  <c r="T111" i="8" s="1"/>
  <c r="P111" i="8"/>
  <c r="L111" i="8"/>
  <c r="AC110" i="8"/>
  <c r="AE110" i="8" s="1"/>
  <c r="Y110" i="8"/>
  <c r="V110" i="8"/>
  <c r="Q110" i="8"/>
  <c r="P110" i="8"/>
  <c r="L110" i="8"/>
  <c r="AC109" i="8"/>
  <c r="AE109" i="8" s="1"/>
  <c r="Y109" i="8"/>
  <c r="V109" i="8"/>
  <c r="Q109" i="8"/>
  <c r="U109" i="8" s="1"/>
  <c r="P109" i="8"/>
  <c r="L109" i="8"/>
  <c r="AC108" i="8"/>
  <c r="AE108" i="8" s="1"/>
  <c r="Y108" i="8"/>
  <c r="V108" i="8"/>
  <c r="Q108" i="8"/>
  <c r="X108" i="8" s="1"/>
  <c r="P108" i="8"/>
  <c r="L108" i="8"/>
  <c r="AC107" i="8"/>
  <c r="AE107" i="8" s="1"/>
  <c r="Y107" i="8"/>
  <c r="V107" i="8"/>
  <c r="Q107" i="8"/>
  <c r="X107" i="8" s="1"/>
  <c r="P107" i="8"/>
  <c r="L107" i="8"/>
  <c r="AC106" i="8"/>
  <c r="AE106" i="8" s="1"/>
  <c r="Y106" i="8"/>
  <c r="V106" i="8"/>
  <c r="Q106" i="8"/>
  <c r="T106" i="8" s="1"/>
  <c r="P106" i="8"/>
  <c r="L106" i="8"/>
  <c r="AD105" i="8"/>
  <c r="AB105" i="8"/>
  <c r="AA105" i="8"/>
  <c r="S105" i="8"/>
  <c r="R105" i="8"/>
  <c r="O105" i="8"/>
  <c r="N105" i="8"/>
  <c r="K105" i="8"/>
  <c r="J105" i="8"/>
  <c r="AC104" i="8"/>
  <c r="AE104" i="8" s="1"/>
  <c r="Y104" i="8"/>
  <c r="V104" i="8"/>
  <c r="Q104" i="8"/>
  <c r="X104" i="8" s="1"/>
  <c r="P104" i="8"/>
  <c r="L104" i="8"/>
  <c r="AC103" i="8"/>
  <c r="AE103" i="8" s="1"/>
  <c r="Y103" i="8"/>
  <c r="V103" i="8"/>
  <c r="Q103" i="8"/>
  <c r="X103" i="8" s="1"/>
  <c r="P103" i="8"/>
  <c r="L103" i="8"/>
  <c r="AC102" i="8"/>
  <c r="AE102" i="8" s="1"/>
  <c r="Y102" i="8"/>
  <c r="V102" i="8"/>
  <c r="Q102" i="8"/>
  <c r="U102" i="8" s="1"/>
  <c r="P102" i="8"/>
  <c r="L102" i="8"/>
  <c r="AC101" i="8"/>
  <c r="Y101" i="8"/>
  <c r="V101" i="8"/>
  <c r="Q101" i="8"/>
  <c r="X101" i="8" s="1"/>
  <c r="P101" i="8"/>
  <c r="L101" i="8"/>
  <c r="AC100" i="8"/>
  <c r="AE100" i="8" s="1"/>
  <c r="Y100" i="8"/>
  <c r="V100" i="8"/>
  <c r="Q100" i="8"/>
  <c r="X100" i="8" s="1"/>
  <c r="P100" i="8"/>
  <c r="L100" i="8"/>
  <c r="AC99" i="8"/>
  <c r="AE99" i="8" s="1"/>
  <c r="Y99" i="8"/>
  <c r="V99" i="8"/>
  <c r="Q99" i="8"/>
  <c r="P99" i="8"/>
  <c r="L99" i="8"/>
  <c r="AC98" i="8"/>
  <c r="AE98" i="8" s="1"/>
  <c r="T98" i="8"/>
  <c r="P98" i="8"/>
  <c r="L98" i="8"/>
  <c r="AC97" i="8"/>
  <c r="AE97" i="8" s="1"/>
  <c r="T97" i="8"/>
  <c r="P97" i="8"/>
  <c r="L97" i="8"/>
  <c r="AC96" i="8"/>
  <c r="AE96" i="8" s="1"/>
  <c r="Y96" i="8"/>
  <c r="V96" i="8"/>
  <c r="Q96" i="8"/>
  <c r="X96" i="8" s="1"/>
  <c r="P96" i="8"/>
  <c r="L96" i="8"/>
  <c r="AC95" i="8"/>
  <c r="AE95" i="8" s="1"/>
  <c r="Y95" i="8"/>
  <c r="V95" i="8"/>
  <c r="Q95" i="8"/>
  <c r="U95" i="8" s="1"/>
  <c r="P95" i="8"/>
  <c r="L95" i="8"/>
  <c r="AC94" i="8"/>
  <c r="AE94" i="8" s="1"/>
  <c r="Y94" i="8"/>
  <c r="V94" i="8"/>
  <c r="Q94" i="8"/>
  <c r="X94" i="8" s="1"/>
  <c r="P94" i="8"/>
  <c r="L94" i="8"/>
  <c r="AC93" i="8"/>
  <c r="AE93" i="8" s="1"/>
  <c r="Y93" i="8"/>
  <c r="V93" i="8"/>
  <c r="Q93" i="8"/>
  <c r="X93" i="8" s="1"/>
  <c r="P93" i="8"/>
  <c r="L93" i="8"/>
  <c r="AC92" i="8"/>
  <c r="AE92" i="8" s="1"/>
  <c r="Y92" i="8"/>
  <c r="V92" i="8"/>
  <c r="Q92" i="8"/>
  <c r="T92" i="8" s="1"/>
  <c r="P92" i="8"/>
  <c r="L92" i="8"/>
  <c r="AC91" i="8"/>
  <c r="AE91" i="8" s="1"/>
  <c r="Y91" i="8"/>
  <c r="X91" i="8"/>
  <c r="V91" i="8"/>
  <c r="U91" i="8"/>
  <c r="T91" i="8"/>
  <c r="P91" i="8"/>
  <c r="L91" i="8"/>
  <c r="AC90" i="8"/>
  <c r="AE90" i="8" s="1"/>
  <c r="Y90" i="8"/>
  <c r="V90" i="8"/>
  <c r="U90" i="8"/>
  <c r="T90" i="8"/>
  <c r="N90" i="8"/>
  <c r="X90" i="8" s="1"/>
  <c r="L90" i="8"/>
  <c r="AC89" i="8"/>
  <c r="AE89" i="8" s="1"/>
  <c r="Y89" i="8"/>
  <c r="V89" i="8"/>
  <c r="Q89" i="8"/>
  <c r="P89" i="8"/>
  <c r="L89" i="8"/>
  <c r="AC88" i="8"/>
  <c r="AE88" i="8" s="1"/>
  <c r="Y88" i="8"/>
  <c r="V88" i="8"/>
  <c r="Q88" i="8"/>
  <c r="T88" i="8" s="1"/>
  <c r="P88" i="8"/>
  <c r="L88" i="8"/>
  <c r="AC87" i="8"/>
  <c r="Y87" i="8"/>
  <c r="V87" i="8"/>
  <c r="Q87" i="8"/>
  <c r="U87" i="8" s="1"/>
  <c r="P87" i="8"/>
  <c r="L87" i="8"/>
  <c r="AC86" i="8"/>
  <c r="AE86" i="8" s="1"/>
  <c r="Y86" i="8"/>
  <c r="V86" i="8"/>
  <c r="Q86" i="8"/>
  <c r="T86" i="8" s="1"/>
  <c r="P86" i="8"/>
  <c r="L86" i="8"/>
  <c r="AC85" i="8"/>
  <c r="AE85" i="8" s="1"/>
  <c r="Z85" i="8"/>
  <c r="W85" i="8"/>
  <c r="T85" i="8"/>
  <c r="P85" i="8"/>
  <c r="L85" i="8"/>
  <c r="AC84" i="8"/>
  <c r="AE84" i="8" s="1"/>
  <c r="Z84" i="8"/>
  <c r="W84" i="8"/>
  <c r="T84" i="8"/>
  <c r="P84" i="8"/>
  <c r="L84" i="8"/>
  <c r="AC83" i="8"/>
  <c r="AE83" i="8" s="1"/>
  <c r="Y83" i="8"/>
  <c r="V83" i="8"/>
  <c r="Q83" i="8"/>
  <c r="X83" i="8" s="1"/>
  <c r="P83" i="8"/>
  <c r="L83" i="8"/>
  <c r="AC82" i="8"/>
  <c r="AE82" i="8" s="1"/>
  <c r="Y82" i="8"/>
  <c r="V82" i="8"/>
  <c r="Q82" i="8"/>
  <c r="U82" i="8" s="1"/>
  <c r="P82" i="8"/>
  <c r="L82" i="8"/>
  <c r="AC81" i="8"/>
  <c r="AE81" i="8" s="1"/>
  <c r="Y81" i="8"/>
  <c r="X81" i="8"/>
  <c r="V81" i="8"/>
  <c r="U81" i="8"/>
  <c r="T81" i="8"/>
  <c r="P81" i="8"/>
  <c r="L81" i="8"/>
  <c r="AC80" i="8"/>
  <c r="AE80" i="8" s="1"/>
  <c r="Y80" i="8"/>
  <c r="V80" i="8"/>
  <c r="T80" i="8"/>
  <c r="J80" i="8"/>
  <c r="N80" i="8" s="1"/>
  <c r="AC79" i="8"/>
  <c r="AE79" i="8" s="1"/>
  <c r="Y79" i="8"/>
  <c r="V79" i="8"/>
  <c r="U79" i="8"/>
  <c r="T79" i="8"/>
  <c r="N79" i="8"/>
  <c r="P79" i="8" s="1"/>
  <c r="L79" i="8"/>
  <c r="AC78" i="8"/>
  <c r="AE78" i="8" s="1"/>
  <c r="Y78" i="8"/>
  <c r="X78" i="8"/>
  <c r="V78" i="8"/>
  <c r="U78" i="8"/>
  <c r="T78" i="8"/>
  <c r="P78" i="8"/>
  <c r="L78" i="8"/>
  <c r="AC77" i="8"/>
  <c r="AE77" i="8" s="1"/>
  <c r="Y77" i="8"/>
  <c r="X77" i="8"/>
  <c r="V77" i="8"/>
  <c r="U77" i="8"/>
  <c r="T77" i="8"/>
  <c r="P77" i="8"/>
  <c r="L77" i="8"/>
  <c r="AC76" i="8"/>
  <c r="AE76" i="8" s="1"/>
  <c r="Y76" i="8"/>
  <c r="X76" i="8"/>
  <c r="V76" i="8"/>
  <c r="U76" i="8"/>
  <c r="T76" i="8"/>
  <c r="P76" i="8"/>
  <c r="L76" i="8"/>
  <c r="AC75" i="8"/>
  <c r="AE75" i="8" s="1"/>
  <c r="Y75" i="8"/>
  <c r="X75" i="8"/>
  <c r="V75" i="8"/>
  <c r="U75" i="8"/>
  <c r="T75" i="8"/>
  <c r="P75" i="8"/>
  <c r="L75" i="8"/>
  <c r="AC74" i="8"/>
  <c r="AE74" i="8" s="1"/>
  <c r="Y74" i="8"/>
  <c r="X74" i="8"/>
  <c r="V74" i="8"/>
  <c r="U74" i="8"/>
  <c r="T74" i="8"/>
  <c r="P74" i="8"/>
  <c r="L74" i="8"/>
  <c r="AC73" i="8"/>
  <c r="AE73" i="8" s="1"/>
  <c r="Y73" i="8"/>
  <c r="X73" i="8"/>
  <c r="V73" i="8"/>
  <c r="U73" i="8"/>
  <c r="T73" i="8"/>
  <c r="P73" i="8"/>
  <c r="L73" i="8"/>
  <c r="AC72" i="8"/>
  <c r="AE72" i="8" s="1"/>
  <c r="Y72" i="8"/>
  <c r="X72" i="8"/>
  <c r="V72" i="8"/>
  <c r="U72" i="8"/>
  <c r="T72" i="8"/>
  <c r="P72" i="8"/>
  <c r="L72" i="8"/>
  <c r="AC71" i="8"/>
  <c r="AE71" i="8" s="1"/>
  <c r="Y71" i="8"/>
  <c r="X71" i="8"/>
  <c r="V71" i="8"/>
  <c r="U71" i="8"/>
  <c r="T71" i="8"/>
  <c r="P71" i="8"/>
  <c r="L71" i="8"/>
  <c r="AC70" i="8"/>
  <c r="AE70" i="8" s="1"/>
  <c r="AB70" i="8"/>
  <c r="AA70" i="8"/>
  <c r="S70" i="8"/>
  <c r="R70" i="8"/>
  <c r="Q70" i="8"/>
  <c r="O70" i="8"/>
  <c r="N70" i="8"/>
  <c r="K70" i="8"/>
  <c r="J70" i="8"/>
  <c r="AC69" i="8"/>
  <c r="AE69" i="8" s="1"/>
  <c r="Y69" i="8"/>
  <c r="V69" i="8"/>
  <c r="Q69" i="8"/>
  <c r="U69" i="8" s="1"/>
  <c r="P69" i="8"/>
  <c r="L69" i="8"/>
  <c r="AC68" i="8"/>
  <c r="AE68" i="8" s="1"/>
  <c r="Y68" i="8"/>
  <c r="V68" i="8"/>
  <c r="Q68" i="8"/>
  <c r="U68" i="8" s="1"/>
  <c r="P68" i="8"/>
  <c r="L68" i="8"/>
  <c r="AC67" i="8"/>
  <c r="AE67" i="8" s="1"/>
  <c r="Y67" i="8"/>
  <c r="V67" i="8"/>
  <c r="Q67" i="8"/>
  <c r="P67" i="8"/>
  <c r="L67" i="8"/>
  <c r="AC66" i="8"/>
  <c r="AE66" i="8" s="1"/>
  <c r="Y66" i="8"/>
  <c r="V66" i="8"/>
  <c r="Q66" i="8"/>
  <c r="T66" i="8" s="1"/>
  <c r="P66" i="8"/>
  <c r="L66" i="8"/>
  <c r="AC65" i="8"/>
  <c r="AE65" i="8" s="1"/>
  <c r="Z65" i="8"/>
  <c r="W65" i="8"/>
  <c r="T65" i="8"/>
  <c r="P65" i="8"/>
  <c r="L65" i="8"/>
  <c r="AC64" i="8"/>
  <c r="AE64" i="8" s="1"/>
  <c r="Z64" i="8"/>
  <c r="W64" i="8"/>
  <c r="T64" i="8"/>
  <c r="P64" i="8"/>
  <c r="L64" i="8"/>
  <c r="AC63" i="8"/>
  <c r="AE63" i="8" s="1"/>
  <c r="Z63" i="8"/>
  <c r="W63" i="8"/>
  <c r="T63" i="8"/>
  <c r="P63" i="8"/>
  <c r="L63" i="8"/>
  <c r="AC62" i="8"/>
  <c r="AE62" i="8" s="1"/>
  <c r="Y62" i="8"/>
  <c r="X62" i="8"/>
  <c r="V62" i="8"/>
  <c r="U62" i="8"/>
  <c r="T62" i="8"/>
  <c r="P62" i="8"/>
  <c r="L62" i="8"/>
  <c r="AC61" i="8"/>
  <c r="AE61" i="8" s="1"/>
  <c r="Y61" i="8"/>
  <c r="V61" i="8"/>
  <c r="Q61" i="8"/>
  <c r="U61" i="8" s="1"/>
  <c r="P61" i="8"/>
  <c r="L61" i="8"/>
  <c r="AC60" i="8"/>
  <c r="AE60" i="8" s="1"/>
  <c r="Y60" i="8"/>
  <c r="V60" i="8"/>
  <c r="Q60" i="8"/>
  <c r="X60" i="8" s="1"/>
  <c r="P60" i="8"/>
  <c r="L60" i="8"/>
  <c r="AC59" i="8"/>
  <c r="AE59" i="8" s="1"/>
  <c r="Y59" i="8"/>
  <c r="V59" i="8"/>
  <c r="Q59" i="8"/>
  <c r="U59" i="8" s="1"/>
  <c r="P59" i="8"/>
  <c r="L59" i="8"/>
  <c r="AC58" i="8"/>
  <c r="Z58" i="8"/>
  <c r="W58" i="8"/>
  <c r="T58" i="8"/>
  <c r="P58" i="8"/>
  <c r="L58" i="8"/>
  <c r="AC57" i="8"/>
  <c r="AE57" i="8" s="1"/>
  <c r="Z57" i="8"/>
  <c r="W57" i="8"/>
  <c r="T57" i="8"/>
  <c r="P57" i="8"/>
  <c r="L57" i="8"/>
  <c r="AC56" i="8"/>
  <c r="AE56" i="8" s="1"/>
  <c r="Y56" i="8"/>
  <c r="V56" i="8"/>
  <c r="Q56" i="8"/>
  <c r="T56" i="8" s="1"/>
  <c r="P56" i="8"/>
  <c r="L56" i="8"/>
  <c r="AC55" i="8"/>
  <c r="AE55" i="8" s="1"/>
  <c r="Y55" i="8"/>
  <c r="V55" i="8"/>
  <c r="Q55" i="8"/>
  <c r="U55" i="8" s="1"/>
  <c r="P55" i="8"/>
  <c r="L55" i="8"/>
  <c r="AC54" i="8"/>
  <c r="AE54" i="8" s="1"/>
  <c r="Y54" i="8"/>
  <c r="X54" i="8"/>
  <c r="V54" i="8"/>
  <c r="U54" i="8"/>
  <c r="T54" i="8"/>
  <c r="P54" i="8"/>
  <c r="L54" i="8"/>
  <c r="AC53" i="8"/>
  <c r="AE53" i="8" s="1"/>
  <c r="Y53" i="8"/>
  <c r="V53" i="8"/>
  <c r="Q53" i="8"/>
  <c r="X53" i="8" s="1"/>
  <c r="P53" i="8"/>
  <c r="L53" i="8"/>
  <c r="AC52" i="8"/>
  <c r="AE52" i="8" s="1"/>
  <c r="Y52" i="8"/>
  <c r="V52" i="8"/>
  <c r="Q52" i="8"/>
  <c r="T52" i="8" s="1"/>
  <c r="P52" i="8"/>
  <c r="L52" i="8"/>
  <c r="AC51" i="8"/>
  <c r="AE51" i="8" s="1"/>
  <c r="Y51" i="8"/>
  <c r="X51" i="8"/>
  <c r="V51" i="8"/>
  <c r="U51" i="8"/>
  <c r="T51" i="8"/>
  <c r="P51" i="8"/>
  <c r="L51" i="8"/>
  <c r="AC50" i="8"/>
  <c r="AE50" i="8" s="1"/>
  <c r="Y50" i="8"/>
  <c r="X50" i="8"/>
  <c r="V50" i="8"/>
  <c r="U50" i="8"/>
  <c r="T50" i="8"/>
  <c r="P50" i="8"/>
  <c r="L50" i="8"/>
  <c r="AC49" i="8"/>
  <c r="AE49" i="8" s="1"/>
  <c r="Y49" i="8"/>
  <c r="X49" i="8"/>
  <c r="V49" i="8"/>
  <c r="U49" i="8"/>
  <c r="T49" i="8"/>
  <c r="P49" i="8"/>
  <c r="L49" i="8"/>
  <c r="AC48" i="8"/>
  <c r="AE48" i="8" s="1"/>
  <c r="Y48" i="8"/>
  <c r="X48" i="8"/>
  <c r="V48" i="8"/>
  <c r="U48" i="8"/>
  <c r="T48" i="8"/>
  <c r="P48" i="8"/>
  <c r="L48" i="8"/>
  <c r="AC47" i="8"/>
  <c r="AE47" i="8" s="1"/>
  <c r="Y47" i="8"/>
  <c r="V47" i="8"/>
  <c r="U47" i="8"/>
  <c r="T47" i="8"/>
  <c r="N47" i="8"/>
  <c r="P47" i="8" s="1"/>
  <c r="L47" i="8"/>
  <c r="AC46" i="8"/>
  <c r="AE46" i="8" s="1"/>
  <c r="Y46" i="8"/>
  <c r="X46" i="8"/>
  <c r="V46" i="8"/>
  <c r="U46" i="8"/>
  <c r="T46" i="8"/>
  <c r="P46" i="8"/>
  <c r="L46" i="8"/>
  <c r="AC45" i="8"/>
  <c r="AE45" i="8" s="1"/>
  <c r="Y45" i="8"/>
  <c r="X45" i="8"/>
  <c r="V45" i="8"/>
  <c r="U45" i="8"/>
  <c r="T45" i="8"/>
  <c r="P45" i="8"/>
  <c r="L45" i="8"/>
  <c r="AC44" i="8"/>
  <c r="AE44" i="8" s="1"/>
  <c r="Y44" i="8"/>
  <c r="V44" i="8"/>
  <c r="Q44" i="8"/>
  <c r="U44" i="8" s="1"/>
  <c r="P44" i="8"/>
  <c r="L44" i="8"/>
  <c r="AC43" i="8"/>
  <c r="AE43" i="8" s="1"/>
  <c r="Y43" i="8"/>
  <c r="V43" i="8"/>
  <c r="Q43" i="8"/>
  <c r="U43" i="8" s="1"/>
  <c r="P43" i="8"/>
  <c r="L43" i="8"/>
  <c r="AC42" i="8"/>
  <c r="AE42" i="8" s="1"/>
  <c r="Y42" i="8"/>
  <c r="V42" i="8"/>
  <c r="Q42" i="8"/>
  <c r="U42" i="8" s="1"/>
  <c r="P42" i="8"/>
  <c r="L42" i="8"/>
  <c r="AC41" i="8"/>
  <c r="AE41" i="8" s="1"/>
  <c r="Y41" i="8"/>
  <c r="V41" i="8"/>
  <c r="Q41" i="8"/>
  <c r="U41" i="8" s="1"/>
  <c r="P41" i="8"/>
  <c r="L41" i="8"/>
  <c r="AC40" i="8"/>
  <c r="AE40" i="8" s="1"/>
  <c r="Y40" i="8"/>
  <c r="X40" i="8"/>
  <c r="V40" i="8"/>
  <c r="U40" i="8"/>
  <c r="T40" i="8"/>
  <c r="P40" i="8"/>
  <c r="L40" i="8"/>
  <c r="AC39" i="8"/>
  <c r="AE39" i="8" s="1"/>
  <c r="Y39" i="8"/>
  <c r="V39" i="8"/>
  <c r="Q39" i="8"/>
  <c r="U39" i="8" s="1"/>
  <c r="P39" i="8"/>
  <c r="L39" i="8"/>
  <c r="AC38" i="8"/>
  <c r="AE38" i="8" s="1"/>
  <c r="Y38" i="8"/>
  <c r="V38" i="8"/>
  <c r="Q38" i="8"/>
  <c r="P38" i="8"/>
  <c r="L38" i="8"/>
  <c r="AC37" i="8"/>
  <c r="AE37" i="8" s="1"/>
  <c r="Y37" i="8"/>
  <c r="V37" i="8"/>
  <c r="Q37" i="8"/>
  <c r="U37" i="8" s="1"/>
  <c r="P37" i="8"/>
  <c r="L37" i="8"/>
  <c r="AC36" i="8"/>
  <c r="AE36" i="8" s="1"/>
  <c r="Y36" i="8"/>
  <c r="V36" i="8"/>
  <c r="Q36" i="8"/>
  <c r="P36" i="8"/>
  <c r="L36" i="8"/>
  <c r="AC35" i="8"/>
  <c r="AE35" i="8" s="1"/>
  <c r="Y35" i="8"/>
  <c r="V35" i="8"/>
  <c r="Q35" i="8"/>
  <c r="P35" i="8"/>
  <c r="L35" i="8"/>
  <c r="AC34" i="8"/>
  <c r="AE34" i="8" s="1"/>
  <c r="Y34" i="8"/>
  <c r="V34" i="8"/>
  <c r="Q34" i="8"/>
  <c r="P34" i="8"/>
  <c r="L34" i="8"/>
  <c r="AC33" i="8"/>
  <c r="AE33" i="8" s="1"/>
  <c r="Y33" i="8"/>
  <c r="V33" i="8"/>
  <c r="Q33" i="8"/>
  <c r="U33" i="8" s="1"/>
  <c r="P33" i="8"/>
  <c r="L33" i="8"/>
  <c r="AC32" i="8"/>
  <c r="AE32" i="8" s="1"/>
  <c r="Y32" i="8"/>
  <c r="V32" i="8"/>
  <c r="Q32" i="8"/>
  <c r="P32" i="8"/>
  <c r="L32" i="8"/>
  <c r="AC31" i="8"/>
  <c r="AE31" i="8" s="1"/>
  <c r="Y31" i="8"/>
  <c r="V31" i="8"/>
  <c r="Q31" i="8"/>
  <c r="P31" i="8"/>
  <c r="L31" i="8"/>
  <c r="AC30" i="8"/>
  <c r="AE30" i="8" s="1"/>
  <c r="Y30" i="8"/>
  <c r="V30" i="8"/>
  <c r="Q30" i="8"/>
  <c r="P30" i="8"/>
  <c r="L30" i="8"/>
  <c r="AC29" i="8"/>
  <c r="AE29" i="8" s="1"/>
  <c r="Y29" i="8"/>
  <c r="V29" i="8"/>
  <c r="Q29" i="8"/>
  <c r="U29" i="8" s="1"/>
  <c r="P29" i="8"/>
  <c r="L29" i="8"/>
  <c r="AC28" i="8"/>
  <c r="AE28" i="8" s="1"/>
  <c r="Y28" i="8"/>
  <c r="V28" i="8"/>
  <c r="Q28" i="8"/>
  <c r="P28" i="8"/>
  <c r="J28" i="8"/>
  <c r="AC27" i="8"/>
  <c r="Y27" i="8"/>
  <c r="X27" i="8"/>
  <c r="V27" i="8"/>
  <c r="U27" i="8"/>
  <c r="T27" i="8"/>
  <c r="P27" i="8"/>
  <c r="L27" i="8"/>
  <c r="AC26" i="8"/>
  <c r="Y26" i="8"/>
  <c r="V26" i="8"/>
  <c r="Q26" i="8"/>
  <c r="U26" i="8" s="1"/>
  <c r="P26" i="8"/>
  <c r="L26" i="8"/>
  <c r="AC25" i="8"/>
  <c r="AE25" i="8" s="1"/>
  <c r="Y25" i="8"/>
  <c r="V25" i="8"/>
  <c r="Q25" i="8"/>
  <c r="P25" i="8"/>
  <c r="L25" i="8"/>
  <c r="AC24" i="8"/>
  <c r="AE24" i="8" s="1"/>
  <c r="Y24" i="8"/>
  <c r="X24" i="8"/>
  <c r="V24" i="8"/>
  <c r="U24" i="8"/>
  <c r="T24" i="8"/>
  <c r="P24" i="8"/>
  <c r="L24" i="8"/>
  <c r="AC23" i="8"/>
  <c r="AE23" i="8" s="1"/>
  <c r="Y23" i="8"/>
  <c r="V23" i="8"/>
  <c r="Q23" i="8"/>
  <c r="U23" i="8" s="1"/>
  <c r="P23" i="8"/>
  <c r="L23" i="8"/>
  <c r="AC22" i="8"/>
  <c r="AE22" i="8" s="1"/>
  <c r="Y22" i="8"/>
  <c r="V22" i="8"/>
  <c r="Q22" i="8"/>
  <c r="T22" i="8" s="1"/>
  <c r="P22" i="8"/>
  <c r="L22" i="8"/>
  <c r="AC21" i="8"/>
  <c r="AE21" i="8" s="1"/>
  <c r="Y21" i="8"/>
  <c r="V21" i="8"/>
  <c r="Q21" i="8"/>
  <c r="X21" i="8" s="1"/>
  <c r="P21" i="8"/>
  <c r="L21" i="8"/>
  <c r="AC20" i="8"/>
  <c r="AE20" i="8" s="1"/>
  <c r="Y20" i="8"/>
  <c r="V20" i="8"/>
  <c r="Q20" i="8"/>
  <c r="U20" i="8" s="1"/>
  <c r="N20" i="8"/>
  <c r="P20" i="8" s="1"/>
  <c r="L20" i="8"/>
  <c r="AC19" i="8"/>
  <c r="AE19" i="8" s="1"/>
  <c r="Y19" i="8"/>
  <c r="X19" i="8"/>
  <c r="V19" i="8"/>
  <c r="U19" i="8"/>
  <c r="T19" i="8"/>
  <c r="P19" i="8"/>
  <c r="L19" i="8"/>
  <c r="AC18" i="8"/>
  <c r="AE18" i="8" s="1"/>
  <c r="Y18" i="8"/>
  <c r="V18" i="8"/>
  <c r="Q18" i="8"/>
  <c r="T18" i="8" s="1"/>
  <c r="P18" i="8"/>
  <c r="L18" i="8"/>
  <c r="AC17" i="8"/>
  <c r="AE17" i="8" s="1"/>
  <c r="Y17" i="8"/>
  <c r="X17" i="8"/>
  <c r="V17" i="8"/>
  <c r="U17" i="8"/>
  <c r="T17" i="8"/>
  <c r="P17" i="8"/>
  <c r="L17" i="8"/>
  <c r="AC16" i="8"/>
  <c r="AE16" i="8" s="1"/>
  <c r="Y16" i="8"/>
  <c r="X16" i="8"/>
  <c r="V16" i="8"/>
  <c r="U16" i="8"/>
  <c r="T16" i="8"/>
  <c r="P16" i="8"/>
  <c r="L16" i="8"/>
  <c r="AC15" i="8"/>
  <c r="AE15" i="8" s="1"/>
  <c r="Y15" i="8"/>
  <c r="X15" i="8"/>
  <c r="V15" i="8"/>
  <c r="U15" i="8"/>
  <c r="T15" i="8"/>
  <c r="P15" i="8"/>
  <c r="L15" i="8"/>
  <c r="AC14" i="8"/>
  <c r="AE14" i="8" s="1"/>
  <c r="Y14" i="8"/>
  <c r="X14" i="8"/>
  <c r="V14" i="8"/>
  <c r="U14" i="8"/>
  <c r="T14" i="8"/>
  <c r="P14" i="8"/>
  <c r="L14" i="8"/>
  <c r="AD13" i="8"/>
  <c r="AB13" i="8"/>
  <c r="AA13" i="8"/>
  <c r="S13" i="8"/>
  <c r="R13" i="8"/>
  <c r="Q13" i="8"/>
  <c r="O13" i="8"/>
  <c r="N13" i="8"/>
  <c r="K13" i="8"/>
  <c r="J13" i="8"/>
  <c r="AC12" i="8"/>
  <c r="AE12" i="8" s="1"/>
  <c r="Y12" i="8"/>
  <c r="V12" i="8"/>
  <c r="Q12" i="8"/>
  <c r="T12" i="8" s="1"/>
  <c r="P12" i="8"/>
  <c r="L12" i="8"/>
  <c r="AC11" i="8"/>
  <c r="AE11" i="8" s="1"/>
  <c r="Y11" i="8"/>
  <c r="V11" i="8"/>
  <c r="Q11" i="8"/>
  <c r="X11" i="8" s="1"/>
  <c r="P11" i="8"/>
  <c r="L11" i="8"/>
  <c r="AC10" i="8"/>
  <c r="AE10" i="8" s="1"/>
  <c r="Z10" i="8"/>
  <c r="W10" i="8"/>
  <c r="T10" i="8"/>
  <c r="P10" i="8"/>
  <c r="L10" i="8"/>
  <c r="AD36" i="7"/>
  <c r="AF36" i="7" s="1"/>
  <c r="AF35" i="7" s="1"/>
  <c r="Y36" i="7"/>
  <c r="Y35" i="7" s="1"/>
  <c r="V36" i="7"/>
  <c r="V35" i="7" s="1"/>
  <c r="Q36" i="7"/>
  <c r="T36" i="7" s="1"/>
  <c r="T35" i="7" s="1"/>
  <c r="P36" i="7"/>
  <c r="P35" i="7" s="1"/>
  <c r="L36" i="7"/>
  <c r="AG35" i="7"/>
  <c r="AE35" i="7"/>
  <c r="AC35" i="7"/>
  <c r="AB35" i="7"/>
  <c r="AA35" i="7"/>
  <c r="S35" i="7"/>
  <c r="R35" i="7"/>
  <c r="O35" i="7"/>
  <c r="N35" i="7"/>
  <c r="M35" i="7"/>
  <c r="L35" i="7"/>
  <c r="K35" i="7"/>
  <c r="J35" i="7"/>
  <c r="F35" i="7"/>
  <c r="AD34" i="7"/>
  <c r="AJ34" i="7" s="1"/>
  <c r="T34" i="7"/>
  <c r="P34" i="7"/>
  <c r="L34" i="7"/>
  <c r="AD33" i="7"/>
  <c r="Z33" i="7"/>
  <c r="W33" i="7"/>
  <c r="T33" i="7"/>
  <c r="P33" i="7"/>
  <c r="L33" i="7"/>
  <c r="AD32" i="7"/>
  <c r="AF32" i="7" s="1"/>
  <c r="L32" i="7"/>
  <c r="AD31" i="7"/>
  <c r="AF31" i="7" s="1"/>
  <c r="L31" i="7"/>
  <c r="AD30" i="7"/>
  <c r="AF30" i="7" s="1"/>
  <c r="Z30" i="7"/>
  <c r="W30" i="7"/>
  <c r="T30" i="7"/>
  <c r="P30" i="7"/>
  <c r="L30" i="7"/>
  <c r="AC29" i="7"/>
  <c r="AD29" i="7" s="1"/>
  <c r="T29" i="7"/>
  <c r="P29" i="7"/>
  <c r="L29" i="7"/>
  <c r="AC28" i="7"/>
  <c r="AD28" i="7" s="1"/>
  <c r="T28" i="7"/>
  <c r="P28" i="7"/>
  <c r="L28" i="7"/>
  <c r="AC27" i="7"/>
  <c r="AD27" i="7" s="1"/>
  <c r="AJ27" i="7" s="1"/>
  <c r="T27" i="7"/>
  <c r="P27" i="7"/>
  <c r="L27" i="7"/>
  <c r="AC26" i="7"/>
  <c r="AD26" i="7" s="1"/>
  <c r="T26" i="7"/>
  <c r="P26" i="7"/>
  <c r="L26" i="7"/>
  <c r="AD25" i="7"/>
  <c r="AJ25" i="7" s="1"/>
  <c r="S25" i="7"/>
  <c r="T25" i="7" s="1"/>
  <c r="P25" i="7"/>
  <c r="L25" i="7"/>
  <c r="AC24" i="7"/>
  <c r="AD24" i="7" s="1"/>
  <c r="AF24" i="7" s="1"/>
  <c r="S24" i="7"/>
  <c r="T24" i="7" s="1"/>
  <c r="P24" i="7"/>
  <c r="L24" i="7"/>
  <c r="AD23" i="7"/>
  <c r="AF23" i="7" s="1"/>
  <c r="T23" i="7"/>
  <c r="P23" i="7"/>
  <c r="L23" i="7"/>
  <c r="AD22" i="7"/>
  <c r="T22" i="7"/>
  <c r="P22" i="7"/>
  <c r="L22" i="7"/>
  <c r="AD21" i="7"/>
  <c r="AJ21" i="7" s="1"/>
  <c r="Y21" i="7"/>
  <c r="X21" i="7"/>
  <c r="V21" i="7"/>
  <c r="U21" i="7"/>
  <c r="T21" i="7"/>
  <c r="P21" i="7"/>
  <c r="L21" i="7"/>
  <c r="AD20" i="7"/>
  <c r="AF20" i="7" s="1"/>
  <c r="Y20" i="7"/>
  <c r="X20" i="7"/>
  <c r="V20" i="7"/>
  <c r="U20" i="7"/>
  <c r="T20" i="7"/>
  <c r="P20" i="7"/>
  <c r="L20" i="7"/>
  <c r="AD19" i="7"/>
  <c r="AJ19" i="7" s="1"/>
  <c r="Y19" i="7"/>
  <c r="X19" i="7"/>
  <c r="V19" i="7"/>
  <c r="U19" i="7"/>
  <c r="T19" i="7"/>
  <c r="P19" i="7"/>
  <c r="L19" i="7"/>
  <c r="AD18" i="7"/>
  <c r="Y18" i="7"/>
  <c r="X18" i="7"/>
  <c r="V18" i="7"/>
  <c r="U18" i="7"/>
  <c r="T18" i="7"/>
  <c r="P18" i="7"/>
  <c r="L18" i="7"/>
  <c r="AD17" i="7"/>
  <c r="L17" i="7"/>
  <c r="AD16" i="7"/>
  <c r="Y16" i="7"/>
  <c r="V16" i="7"/>
  <c r="Q16" i="7"/>
  <c r="P16" i="7"/>
  <c r="L16" i="7"/>
  <c r="AD15" i="7"/>
  <c r="AF15" i="7" s="1"/>
  <c r="R15" i="7"/>
  <c r="Y15" i="7" s="1"/>
  <c r="Q15" i="7"/>
  <c r="N15" i="7"/>
  <c r="P15" i="7" s="1"/>
  <c r="L15" i="7"/>
  <c r="AJ14" i="7"/>
  <c r="T14" i="7"/>
  <c r="P14" i="7"/>
  <c r="L14" i="7"/>
  <c r="AJ13" i="7"/>
  <c r="T13" i="7"/>
  <c r="P13" i="7"/>
  <c r="L13" i="7"/>
  <c r="AJ12" i="7"/>
  <c r="T12" i="7"/>
  <c r="P12" i="7"/>
  <c r="L12" i="7"/>
  <c r="AB11" i="7"/>
  <c r="AD11" i="7" s="1"/>
  <c r="AA11" i="7"/>
  <c r="Z11" i="7"/>
  <c r="Y11" i="7"/>
  <c r="X11" i="7"/>
  <c r="W11" i="7"/>
  <c r="V11" i="7"/>
  <c r="U11" i="7"/>
  <c r="S11" i="7"/>
  <c r="R11" i="7"/>
  <c r="Q11" i="7"/>
  <c r="O11" i="7"/>
  <c r="N11" i="7"/>
  <c r="M11" i="7"/>
  <c r="K11" i="7"/>
  <c r="J11" i="7"/>
  <c r="AD10" i="7"/>
  <c r="AF10" i="7" s="1"/>
  <c r="Y10" i="7"/>
  <c r="X10" i="7"/>
  <c r="V10" i="7"/>
  <c r="U10" i="7"/>
  <c r="W10" i="7" s="1"/>
  <c r="T10" i="7"/>
  <c r="P10" i="7"/>
  <c r="L10" i="7"/>
  <c r="Z96" i="8" l="1"/>
  <c r="P105" i="8"/>
  <c r="Z181" i="8"/>
  <c r="W44" i="8"/>
  <c r="Z135" i="8"/>
  <c r="Z147" i="8"/>
  <c r="W48" i="8"/>
  <c r="W49" i="8"/>
  <c r="Z83" i="8"/>
  <c r="U53" i="8"/>
  <c r="W53" i="8" s="1"/>
  <c r="X55" i="8"/>
  <c r="Z55" i="8" s="1"/>
  <c r="Z72" i="8"/>
  <c r="Z74" i="8"/>
  <c r="Z76" i="8"/>
  <c r="Y70" i="8"/>
  <c r="W20" i="8"/>
  <c r="W55" i="8"/>
  <c r="X102" i="8"/>
  <c r="Z170" i="8"/>
  <c r="Z53" i="8"/>
  <c r="W128" i="8"/>
  <c r="Z116" i="8"/>
  <c r="Z130" i="8"/>
  <c r="Z81" i="8"/>
  <c r="Z127" i="8"/>
  <c r="Z100" i="8"/>
  <c r="W40" i="8"/>
  <c r="W122" i="8"/>
  <c r="Z78" i="8"/>
  <c r="AC105" i="8"/>
  <c r="T137" i="8"/>
  <c r="T112" i="8"/>
  <c r="U113" i="8"/>
  <c r="W113" i="8" s="1"/>
  <c r="T114" i="8"/>
  <c r="U115" i="8"/>
  <c r="W115" i="8" s="1"/>
  <c r="T116" i="8"/>
  <c r="T122" i="8"/>
  <c r="U112" i="8"/>
  <c r="W112" i="8" s="1"/>
  <c r="U114" i="8"/>
  <c r="W114" i="8" s="1"/>
  <c r="X113" i="8"/>
  <c r="Z113" i="8" s="1"/>
  <c r="X115" i="8"/>
  <c r="Z115" i="8" s="1"/>
  <c r="W69" i="8"/>
  <c r="W24" i="8"/>
  <c r="W75" i="8"/>
  <c r="W77" i="8"/>
  <c r="U12" i="8"/>
  <c r="W12" i="8" s="1"/>
  <c r="P90" i="8"/>
  <c r="X69" i="8"/>
  <c r="Z69" i="8" s="1"/>
  <c r="X111" i="8"/>
  <c r="Z111" i="8" s="1"/>
  <c r="X12" i="8"/>
  <c r="Z12" i="8" s="1"/>
  <c r="T53" i="8"/>
  <c r="W79" i="8"/>
  <c r="T104" i="8"/>
  <c r="W51" i="8"/>
  <c r="Z73" i="8"/>
  <c r="Z75" i="8"/>
  <c r="Z93" i="8"/>
  <c r="Z40" i="8"/>
  <c r="Z51" i="8"/>
  <c r="P70" i="8"/>
  <c r="W87" i="8"/>
  <c r="U135" i="8"/>
  <c r="W135" i="8" s="1"/>
  <c r="T21" i="8"/>
  <c r="U60" i="8"/>
  <c r="W60" i="8" s="1"/>
  <c r="Z103" i="8"/>
  <c r="Q105" i="8"/>
  <c r="U123" i="8"/>
  <c r="W123" i="8" s="1"/>
  <c r="Z132" i="8"/>
  <c r="Y13" i="8"/>
  <c r="U92" i="8"/>
  <c r="W92" i="8" s="1"/>
  <c r="Y105" i="8"/>
  <c r="U111" i="8"/>
  <c r="W111" i="8" s="1"/>
  <c r="X44" i="8"/>
  <c r="Z44" i="8" s="1"/>
  <c r="U11" i="8"/>
  <c r="W17" i="8"/>
  <c r="W23" i="8"/>
  <c r="W29" i="8"/>
  <c r="W33" i="8"/>
  <c r="W37" i="8"/>
  <c r="T109" i="8"/>
  <c r="U147" i="8"/>
  <c r="W147" i="8" s="1"/>
  <c r="W176" i="8"/>
  <c r="Z94" i="8"/>
  <c r="Z138" i="8"/>
  <c r="Z142" i="8"/>
  <c r="Z15" i="8"/>
  <c r="Z16" i="8"/>
  <c r="Z17" i="8"/>
  <c r="Z24" i="8"/>
  <c r="W90" i="8"/>
  <c r="W119" i="8"/>
  <c r="Z176" i="8"/>
  <c r="U21" i="8"/>
  <c r="W21" i="8" s="1"/>
  <c r="U177" i="8"/>
  <c r="W177" i="8" s="1"/>
  <c r="W43" i="8"/>
  <c r="T44" i="8"/>
  <c r="W47" i="8"/>
  <c r="W50" i="8"/>
  <c r="U56" i="8"/>
  <c r="W56" i="8" s="1"/>
  <c r="Z62" i="8"/>
  <c r="U185" i="8"/>
  <c r="W185" i="8" s="1"/>
  <c r="Z104" i="8"/>
  <c r="W42" i="8"/>
  <c r="T43" i="8"/>
  <c r="Z48" i="8"/>
  <c r="Z49" i="8"/>
  <c r="Z50" i="8"/>
  <c r="W71" i="8"/>
  <c r="W73" i="8"/>
  <c r="Z91" i="8"/>
  <c r="U93" i="8"/>
  <c r="W93" i="8" s="1"/>
  <c r="T95" i="8"/>
  <c r="T96" i="8"/>
  <c r="Q174" i="8"/>
  <c r="T174" i="8" s="1"/>
  <c r="Y174" i="8"/>
  <c r="T125" i="8"/>
  <c r="X42" i="8"/>
  <c r="Z42" i="8" s="1"/>
  <c r="X95" i="8"/>
  <c r="T102" i="8"/>
  <c r="U104" i="8"/>
  <c r="W104" i="8" s="1"/>
  <c r="V174" i="8"/>
  <c r="V162" i="8" s="1"/>
  <c r="AC13" i="8"/>
  <c r="AE13" i="8" s="1"/>
  <c r="AE27" i="8"/>
  <c r="Z107" i="8"/>
  <c r="Z126" i="8"/>
  <c r="W39" i="8"/>
  <c r="Z77" i="8"/>
  <c r="Z172" i="8"/>
  <c r="T187" i="8"/>
  <c r="L13" i="8"/>
  <c r="T100" i="8"/>
  <c r="T103" i="8"/>
  <c r="T108" i="8"/>
  <c r="W129" i="8"/>
  <c r="T141" i="8"/>
  <c r="U167" i="8"/>
  <c r="W167" i="8" s="1"/>
  <c r="W173" i="8"/>
  <c r="W187" i="8"/>
  <c r="U52" i="8"/>
  <c r="W52" i="8" s="1"/>
  <c r="V70" i="8"/>
  <c r="U88" i="8"/>
  <c r="W88" i="8" s="1"/>
  <c r="U100" i="8"/>
  <c r="W100" i="8" s="1"/>
  <c r="X122" i="8"/>
  <c r="Z122" i="8" s="1"/>
  <c r="X123" i="8"/>
  <c r="Z123" i="8" s="1"/>
  <c r="AB162" i="8"/>
  <c r="Z171" i="8"/>
  <c r="X66" i="8"/>
  <c r="Z66" i="8" s="1"/>
  <c r="Z165" i="8"/>
  <c r="T171" i="8"/>
  <c r="T172" i="8"/>
  <c r="X20" i="8"/>
  <c r="Z20" i="8" s="1"/>
  <c r="X52" i="8"/>
  <c r="Z52" i="8" s="1"/>
  <c r="Z60" i="8"/>
  <c r="U80" i="8"/>
  <c r="W80" i="8" s="1"/>
  <c r="U86" i="8"/>
  <c r="W86" i="8" s="1"/>
  <c r="U165" i="8"/>
  <c r="W165" i="8" s="1"/>
  <c r="U171" i="8"/>
  <c r="W171" i="8" s="1"/>
  <c r="W45" i="8"/>
  <c r="T60" i="8"/>
  <c r="T69" i="8"/>
  <c r="Z125" i="8"/>
  <c r="W126" i="8"/>
  <c r="Z150" i="8"/>
  <c r="U183" i="8"/>
  <c r="W183" i="8" s="1"/>
  <c r="T42" i="8"/>
  <c r="J174" i="8"/>
  <c r="J162" i="8" s="1"/>
  <c r="W41" i="8"/>
  <c r="Z46" i="8"/>
  <c r="T70" i="8"/>
  <c r="X79" i="8"/>
  <c r="Z79" i="8" s="1"/>
  <c r="T93" i="8"/>
  <c r="Z118" i="8"/>
  <c r="W127" i="8"/>
  <c r="T132" i="8"/>
  <c r="T147" i="8"/>
  <c r="U163" i="8"/>
  <c r="W163" i="8" s="1"/>
  <c r="AE101" i="8"/>
  <c r="P13" i="8"/>
  <c r="X80" i="8"/>
  <c r="Z80" i="8" s="1"/>
  <c r="P80" i="8"/>
  <c r="X139" i="8"/>
  <c r="Z139" i="8" s="1"/>
  <c r="U139" i="8"/>
  <c r="W139" i="8" s="1"/>
  <c r="T139" i="8"/>
  <c r="X149" i="8"/>
  <c r="Z149" i="8" s="1"/>
  <c r="U149" i="8"/>
  <c r="W149" i="8" s="1"/>
  <c r="T149" i="8"/>
  <c r="W16" i="8"/>
  <c r="L28" i="8"/>
  <c r="X99" i="8"/>
  <c r="Z99" i="8" s="1"/>
  <c r="U99" i="8"/>
  <c r="W99" i="8" s="1"/>
  <c r="T99" i="8"/>
  <c r="AE155" i="8"/>
  <c r="V13" i="8"/>
  <c r="X110" i="8"/>
  <c r="Z110" i="8" s="1"/>
  <c r="U110" i="8"/>
  <c r="W110" i="8" s="1"/>
  <c r="T110" i="8"/>
  <c r="X143" i="8"/>
  <c r="Z143" i="8" s="1"/>
  <c r="U143" i="8"/>
  <c r="W143" i="8" s="1"/>
  <c r="T143" i="8"/>
  <c r="W109" i="8"/>
  <c r="X145" i="8"/>
  <c r="Z145" i="8" s="1"/>
  <c r="U145" i="8"/>
  <c r="W145" i="8" s="1"/>
  <c r="T145" i="8"/>
  <c r="Z101" i="8"/>
  <c r="X121" i="8"/>
  <c r="Z121" i="8" s="1"/>
  <c r="U121" i="8"/>
  <c r="W121" i="8" s="1"/>
  <c r="T121" i="8"/>
  <c r="Z11" i="8"/>
  <c r="T11" i="8"/>
  <c r="X25" i="8"/>
  <c r="Z25" i="8" s="1"/>
  <c r="U25" i="8"/>
  <c r="W25" i="8" s="1"/>
  <c r="T25" i="8"/>
  <c r="L105" i="8"/>
  <c r="X23" i="8"/>
  <c r="Z23" i="8" s="1"/>
  <c r="W74" i="8"/>
  <c r="W81" i="8"/>
  <c r="X124" i="8"/>
  <c r="Z124" i="8" s="1"/>
  <c r="U125" i="8"/>
  <c r="W125" i="8" s="1"/>
  <c r="Z129" i="8"/>
  <c r="U137" i="8"/>
  <c r="W137" i="8" s="1"/>
  <c r="U141" i="8"/>
  <c r="W141" i="8" s="1"/>
  <c r="U172" i="8"/>
  <c r="W172" i="8" s="1"/>
  <c r="T13" i="8"/>
  <c r="T41" i="8"/>
  <c r="U66" i="8"/>
  <c r="W66" i="8" s="1"/>
  <c r="W76" i="8"/>
  <c r="T82" i="8"/>
  <c r="X92" i="8"/>
  <c r="T101" i="8"/>
  <c r="X109" i="8"/>
  <c r="Z109" i="8" s="1"/>
  <c r="X119" i="8"/>
  <c r="Z119" i="8" s="1"/>
  <c r="W26" i="8"/>
  <c r="U101" i="8"/>
  <c r="T107" i="8"/>
  <c r="T105" i="8" s="1"/>
  <c r="T130" i="8"/>
  <c r="U131" i="8"/>
  <c r="W131" i="8" s="1"/>
  <c r="X163" i="8"/>
  <c r="Z163" i="8" s="1"/>
  <c r="U169" i="8"/>
  <c r="W169" i="8" s="1"/>
  <c r="T170" i="8"/>
  <c r="T173" i="8"/>
  <c r="T181" i="8"/>
  <c r="W19" i="8"/>
  <c r="X41" i="8"/>
  <c r="Z41" i="8" s="1"/>
  <c r="W62" i="8"/>
  <c r="X82" i="8"/>
  <c r="Z82" i="8" s="1"/>
  <c r="T83" i="8"/>
  <c r="T94" i="8"/>
  <c r="U107" i="8"/>
  <c r="W107" i="8" s="1"/>
  <c r="W150" i="8"/>
  <c r="U170" i="8"/>
  <c r="W170" i="8" s="1"/>
  <c r="U181" i="8"/>
  <c r="W181" i="8" s="1"/>
  <c r="T23" i="8"/>
  <c r="T55" i="8"/>
  <c r="L80" i="8"/>
  <c r="U83" i="8"/>
  <c r="W83" i="8" s="1"/>
  <c r="U94" i="8"/>
  <c r="Z108" i="8"/>
  <c r="X131" i="8"/>
  <c r="Z131" i="8" s="1"/>
  <c r="X173" i="8"/>
  <c r="Z173" i="8" s="1"/>
  <c r="U179" i="8"/>
  <c r="W179" i="8" s="1"/>
  <c r="Z187" i="8"/>
  <c r="X47" i="8"/>
  <c r="Z47" i="8" s="1"/>
  <c r="W102" i="8"/>
  <c r="T119" i="8"/>
  <c r="L175" i="8"/>
  <c r="L174" i="8" s="1"/>
  <c r="L162" i="8" s="1"/>
  <c r="Z21" i="8"/>
  <c r="X43" i="8"/>
  <c r="Z43" i="8" s="1"/>
  <c r="Z54" i="8"/>
  <c r="W72" i="8"/>
  <c r="W95" i="8"/>
  <c r="W124" i="8"/>
  <c r="T135" i="8"/>
  <c r="T165" i="8"/>
  <c r="Q35" i="7"/>
  <c r="AJ20" i="7"/>
  <c r="W21" i="7"/>
  <c r="Z21" i="7"/>
  <c r="AJ23" i="7"/>
  <c r="W20" i="7"/>
  <c r="L11" i="7"/>
  <c r="P11" i="7"/>
  <c r="AF17" i="7"/>
  <c r="AF21" i="7"/>
  <c r="W19" i="7"/>
  <c r="AJ11" i="7"/>
  <c r="AF19" i="7"/>
  <c r="AF33" i="7"/>
  <c r="Z18" i="7"/>
  <c r="T15" i="7"/>
  <c r="AJ18" i="7"/>
  <c r="Z20" i="7"/>
  <c r="X16" i="7"/>
  <c r="Z16" i="7" s="1"/>
  <c r="U15" i="7"/>
  <c r="T11" i="7"/>
  <c r="W18" i="7"/>
  <c r="T35" i="8"/>
  <c r="X35" i="8"/>
  <c r="Z35" i="8" s="1"/>
  <c r="U35" i="8"/>
  <c r="W35" i="8" s="1"/>
  <c r="T20" i="8"/>
  <c r="AE26" i="8"/>
  <c r="U18" i="8"/>
  <c r="W18" i="8" s="1"/>
  <c r="X18" i="8"/>
  <c r="Z18" i="8" s="1"/>
  <c r="W14" i="8"/>
  <c r="U13" i="8"/>
  <c r="W15" i="8"/>
  <c r="Z19" i="8"/>
  <c r="U22" i="8"/>
  <c r="W22" i="8" s="1"/>
  <c r="X22" i="8"/>
  <c r="Z22" i="8" s="1"/>
  <c r="Z14" i="8"/>
  <c r="X13" i="8"/>
  <c r="X67" i="8"/>
  <c r="Z67" i="8" s="1"/>
  <c r="U67" i="8"/>
  <c r="W67" i="8" s="1"/>
  <c r="T67" i="8"/>
  <c r="W11" i="8"/>
  <c r="X36" i="8"/>
  <c r="Z36" i="8" s="1"/>
  <c r="U36" i="8"/>
  <c r="W36" i="8" s="1"/>
  <c r="T36" i="8"/>
  <c r="T26" i="8"/>
  <c r="W27" i="8"/>
  <c r="T31" i="8"/>
  <c r="X31" i="8"/>
  <c r="Z31" i="8" s="1"/>
  <c r="X32" i="8"/>
  <c r="Z32" i="8" s="1"/>
  <c r="U32" i="8"/>
  <c r="W32" i="8" s="1"/>
  <c r="T32" i="8"/>
  <c r="W46" i="8"/>
  <c r="T29" i="8"/>
  <c r="X29" i="8"/>
  <c r="Z29" i="8" s="1"/>
  <c r="X30" i="8"/>
  <c r="Z30" i="8" s="1"/>
  <c r="U30" i="8"/>
  <c r="W30" i="8" s="1"/>
  <c r="T30" i="8"/>
  <c r="U31" i="8"/>
  <c r="W31" i="8" s="1"/>
  <c r="Z45" i="8"/>
  <c r="Z27" i="8"/>
  <c r="X28" i="8"/>
  <c r="T28" i="8"/>
  <c r="AE58" i="8"/>
  <c r="X26" i="8"/>
  <c r="W54" i="8"/>
  <c r="T39" i="8"/>
  <c r="X39" i="8"/>
  <c r="Z39" i="8" s="1"/>
  <c r="T37" i="8"/>
  <c r="X37" i="8"/>
  <c r="Z37" i="8" s="1"/>
  <c r="X38" i="8"/>
  <c r="Z38" i="8" s="1"/>
  <c r="U38" i="8"/>
  <c r="W38" i="8" s="1"/>
  <c r="T38" i="8"/>
  <c r="U28" i="8"/>
  <c r="T33" i="8"/>
  <c r="X33" i="8"/>
  <c r="Z33" i="8" s="1"/>
  <c r="X34" i="8"/>
  <c r="Z34" i="8" s="1"/>
  <c r="U34" i="8"/>
  <c r="W34" i="8" s="1"/>
  <c r="T34" i="8"/>
  <c r="W59" i="8"/>
  <c r="X61" i="8"/>
  <c r="Z61" i="8" s="1"/>
  <c r="T61" i="8"/>
  <c r="W61" i="8"/>
  <c r="X178" i="8"/>
  <c r="Z178" i="8" s="1"/>
  <c r="U178" i="8"/>
  <c r="W178" i="8" s="1"/>
  <c r="T178" i="8"/>
  <c r="X56" i="8"/>
  <c r="Z56" i="8" s="1"/>
  <c r="L70" i="8"/>
  <c r="U144" i="8"/>
  <c r="W144" i="8" s="1"/>
  <c r="T144" i="8"/>
  <c r="X144" i="8"/>
  <c r="Z144" i="8" s="1"/>
  <c r="X59" i="8"/>
  <c r="T59" i="8"/>
  <c r="Z71" i="8"/>
  <c r="Z70" i="8" s="1"/>
  <c r="X70" i="8"/>
  <c r="U120" i="8"/>
  <c r="W120" i="8" s="1"/>
  <c r="X120" i="8"/>
  <c r="Z120" i="8" s="1"/>
  <c r="T120" i="8"/>
  <c r="X180" i="8"/>
  <c r="Z180" i="8" s="1"/>
  <c r="U180" i="8"/>
  <c r="W180" i="8" s="1"/>
  <c r="T180" i="8"/>
  <c r="X68" i="8"/>
  <c r="Z68" i="8" s="1"/>
  <c r="W78" i="8"/>
  <c r="V105" i="8"/>
  <c r="Z140" i="8"/>
  <c r="U142" i="8"/>
  <c r="W142" i="8" s="1"/>
  <c r="T142" i="8"/>
  <c r="AE87" i="8"/>
  <c r="AE134" i="8"/>
  <c r="X175" i="8"/>
  <c r="N174" i="8"/>
  <c r="U70" i="8"/>
  <c r="Z90" i="8"/>
  <c r="AE105" i="8"/>
  <c r="W68" i="8"/>
  <c r="X89" i="8"/>
  <c r="Z89" i="8" s="1"/>
  <c r="T89" i="8"/>
  <c r="T68" i="8"/>
  <c r="W82" i="8"/>
  <c r="X87" i="8"/>
  <c r="Z87" i="8" s="1"/>
  <c r="T87" i="8"/>
  <c r="U89" i="8"/>
  <c r="W89" i="8" s="1"/>
  <c r="W91" i="8"/>
  <c r="X86" i="8"/>
  <c r="X88" i="8"/>
  <c r="Z88" i="8" s="1"/>
  <c r="U96" i="8"/>
  <c r="U103" i="8"/>
  <c r="U106" i="8"/>
  <c r="U108" i="8"/>
  <c r="W108" i="8" s="1"/>
  <c r="Z112" i="8"/>
  <c r="Z128" i="8"/>
  <c r="AE164" i="8"/>
  <c r="P162" i="8"/>
  <c r="Z114" i="8"/>
  <c r="L116" i="8"/>
  <c r="U116" i="8"/>
  <c r="W116" i="8" s="1"/>
  <c r="U146" i="8"/>
  <c r="W146" i="8" s="1"/>
  <c r="T146" i="8"/>
  <c r="X168" i="8"/>
  <c r="Z168" i="8" s="1"/>
  <c r="U168" i="8"/>
  <c r="W168" i="8" s="1"/>
  <c r="T168" i="8"/>
  <c r="AC174" i="8"/>
  <c r="AE174" i="8" s="1"/>
  <c r="X186" i="8"/>
  <c r="Z186" i="8" s="1"/>
  <c r="U186" i="8"/>
  <c r="W186" i="8" s="1"/>
  <c r="T186" i="8"/>
  <c r="X106" i="8"/>
  <c r="U134" i="8"/>
  <c r="W134" i="8" s="1"/>
  <c r="T134" i="8"/>
  <c r="U148" i="8"/>
  <c r="W148" i="8" s="1"/>
  <c r="T148" i="8"/>
  <c r="P117" i="8"/>
  <c r="X117" i="8"/>
  <c r="Z117" i="8" s="1"/>
  <c r="T124" i="8"/>
  <c r="U136" i="8"/>
  <c r="W136" i="8" s="1"/>
  <c r="T136" i="8"/>
  <c r="Z146" i="8"/>
  <c r="X166" i="8"/>
  <c r="Z166" i="8" s="1"/>
  <c r="U166" i="8"/>
  <c r="W166" i="8" s="1"/>
  <c r="T166" i="8"/>
  <c r="X184" i="8"/>
  <c r="Z184" i="8" s="1"/>
  <c r="U184" i="8"/>
  <c r="W184" i="8" s="1"/>
  <c r="T184" i="8"/>
  <c r="U117" i="8"/>
  <c r="W117" i="8" s="1"/>
  <c r="T117" i="8"/>
  <c r="W118" i="8"/>
  <c r="X134" i="8"/>
  <c r="U138" i="8"/>
  <c r="W138" i="8" s="1"/>
  <c r="T138" i="8"/>
  <c r="X148" i="8"/>
  <c r="Z148" i="8" s="1"/>
  <c r="X164" i="8"/>
  <c r="Z164" i="8" s="1"/>
  <c r="U164" i="8"/>
  <c r="W164" i="8" s="1"/>
  <c r="T164" i="8"/>
  <c r="W175" i="8"/>
  <c r="Z136" i="8"/>
  <c r="U140" i="8"/>
  <c r="W140" i="8" s="1"/>
  <c r="T140" i="8"/>
  <c r="X182" i="8"/>
  <c r="Z182" i="8" s="1"/>
  <c r="U182" i="8"/>
  <c r="W182" i="8" s="1"/>
  <c r="T182" i="8"/>
  <c r="U130" i="8"/>
  <c r="U132" i="8"/>
  <c r="W132" i="8" s="1"/>
  <c r="X167" i="8"/>
  <c r="Z167" i="8" s="1"/>
  <c r="X169" i="8"/>
  <c r="Z169" i="8" s="1"/>
  <c r="X177" i="8"/>
  <c r="Z177" i="8" s="1"/>
  <c r="X179" i="8"/>
  <c r="Z179" i="8" s="1"/>
  <c r="X183" i="8"/>
  <c r="Z183" i="8" s="1"/>
  <c r="X185" i="8"/>
  <c r="Z185" i="8" s="1"/>
  <c r="Y162" i="8"/>
  <c r="Z19" i="7"/>
  <c r="AJ29" i="7"/>
  <c r="AF29" i="7"/>
  <c r="AJ22" i="7"/>
  <c r="AF22" i="7"/>
  <c r="AF11" i="7"/>
  <c r="AJ24" i="7"/>
  <c r="AF26" i="7"/>
  <c r="AJ26" i="7"/>
  <c r="AJ28" i="7"/>
  <c r="AF28" i="7"/>
  <c r="Z10" i="7"/>
  <c r="AF25" i="7"/>
  <c r="AJ30" i="7"/>
  <c r="AF34" i="7"/>
  <c r="AD35" i="7"/>
  <c r="U36" i="7"/>
  <c r="AF18" i="7"/>
  <c r="V15" i="7"/>
  <c r="X36" i="7"/>
  <c r="X15" i="7"/>
  <c r="T16" i="7"/>
  <c r="AF16" i="7"/>
  <c r="AF27" i="7"/>
  <c r="U16" i="7"/>
  <c r="Q162" i="8" l="1"/>
  <c r="Z102" i="8"/>
  <c r="Z13" i="8"/>
  <c r="W70" i="8"/>
  <c r="U174" i="8"/>
  <c r="W174" i="8" s="1"/>
  <c r="W162" i="8" s="1"/>
  <c r="Z95" i="8"/>
  <c r="W94" i="8"/>
  <c r="W101" i="8"/>
  <c r="AE162" i="8"/>
  <c r="W13" i="8"/>
  <c r="T162" i="8"/>
  <c r="Z92" i="8"/>
  <c r="Z134" i="8"/>
  <c r="Z28" i="8"/>
  <c r="AC162" i="8"/>
  <c r="W96" i="8"/>
  <c r="W130" i="8"/>
  <c r="W103" i="8"/>
  <c r="N162" i="8"/>
  <c r="Z26" i="8"/>
  <c r="Z59" i="8"/>
  <c r="Z86" i="8"/>
  <c r="X174" i="8"/>
  <c r="Z174" i="8" s="1"/>
  <c r="Z175" i="8"/>
  <c r="W28" i="8"/>
  <c r="Z106" i="8"/>
  <c r="X105" i="8"/>
  <c r="W106" i="8"/>
  <c r="U105" i="8"/>
  <c r="Z15" i="7"/>
  <c r="U35" i="7"/>
  <c r="W36" i="7"/>
  <c r="W35" i="7" s="1"/>
  <c r="W16" i="7"/>
  <c r="Z36" i="7"/>
  <c r="Z35" i="7" s="1"/>
  <c r="X35" i="7"/>
  <c r="W15" i="7"/>
  <c r="U162" i="8" l="1"/>
  <c r="X162" i="8"/>
  <c r="W105" i="8"/>
  <c r="Z105" i="8"/>
  <c r="Z162" i="8"/>
</calcChain>
</file>

<file path=xl/sharedStrings.xml><?xml version="1.0" encoding="utf-8"?>
<sst xmlns="http://schemas.openxmlformats.org/spreadsheetml/2006/main" count="1274" uniqueCount="515">
  <si>
    <t>ຫົວໜ່ວຍ: ລ້ານກີບ.</t>
  </si>
  <si>
    <t>ລ/ດ</t>
  </si>
  <si>
    <t>ຊື່ ແລະ ທີ່ຕັ້ງຂອງໂຄງການ</t>
  </si>
  <si>
    <t>ໄລຍະ  ຈຳນວນໂຄງການ</t>
  </si>
  <si>
    <t>%</t>
  </si>
  <si>
    <t>ໄລຍະໂຄງການ</t>
  </si>
  <si>
    <t>ມູນຄ່າລວມໂຄງການ</t>
  </si>
  <si>
    <t>ລວມມູນຄ່າປະຕິບັດວຽກສຳເລັດ</t>
  </si>
  <si>
    <t>ຄາດ​ຄະ​ເນ​ຊຳ​ລະຮອດວັນທີ 30/09/2016</t>
  </si>
  <si>
    <t>ຍັງຄ້າງຕາມມູນຄ່າໂຄງການ ສົກປີ 2015-2016</t>
  </si>
  <si>
    <t>ຍັງຄ້າງຕາມໜ້າວຽກ ສົກປີ 2015-2016</t>
  </si>
  <si>
    <t>ແຜນໄລຍະຂ້າມຜ່ານ ປີ 2016</t>
  </si>
  <si>
    <t>ແຜນການລົງທຶນ ສົກປີ 2017 ເລີ່ມ 1/1/2017</t>
  </si>
  <si>
    <t>ຜົນ</t>
  </si>
  <si>
    <t>ໝາຍ</t>
  </si>
  <si>
    <t>ເລກລະຫັດ</t>
  </si>
  <si>
    <t>ຈຳນວນໂຄງການ</t>
  </si>
  <si>
    <t>ວັນທີ 30/06/2016</t>
  </si>
  <si>
    <t xml:space="preserve"> ທຶນ ພ.ນ</t>
  </si>
  <si>
    <t>ທຶນ ຕປທ</t>
  </si>
  <si>
    <t>ລວມທັງ​ໝົດ</t>
  </si>
  <si>
    <t>ແຜນ​ການ ປີ 2017</t>
  </si>
  <si>
    <t xml:space="preserve">ປະຕິບັດ </t>
  </si>
  <si>
    <t xml:space="preserve">ຊໍາລະ </t>
  </si>
  <si>
    <t>ລວມ</t>
  </si>
  <si>
    <t>ທຶນ ອື່ນໆ</t>
  </si>
  <si>
    <t>ແຜນ​​ຊຳ​ລ​ະ (ບ້ວງ 500 ຕື້​ກີບ ສົກ​ປີ 2015-2016</t>
  </si>
  <si>
    <t>ປະເມີນ</t>
  </si>
  <si>
    <t>ເຫດ</t>
  </si>
  <si>
    <t>ຂະແໜງການ</t>
  </si>
  <si>
    <t>ໂຄງການ</t>
  </si>
  <si>
    <t>ງົບປະມານ</t>
  </si>
  <si>
    <t>ໂຄງການກໍ່ສ້າງ ແລະ ສ້ອມແປງພື້ນຖານໂຄງລ່າງ</t>
  </si>
  <si>
    <t>-</t>
  </si>
  <si>
    <t>ໂຄງການກໍ່ສ້າງສວນທົດລອງກະສິກຳເມືອງປາກຊ່ອງ (​ ພະແນກ )</t>
  </si>
  <si>
    <t>2017-2019</t>
  </si>
  <si>
    <t>2017-2021</t>
  </si>
  <si>
    <t>B</t>
  </si>
  <si>
    <t>216 10</t>
  </si>
  <si>
    <t>2 216 11 197 1</t>
  </si>
  <si>
    <t>17 03 00 00</t>
  </si>
  <si>
    <t>ຄ.ກ ສົ່ງເສີມການຜະລິດເປັນສິນຄ້າ(4ເມືອງບາຈຽງ,ປະທຸມພອນ,ສຸຂຸມາ ແລະເມືອງມູນ)</t>
  </si>
  <si>
    <t>2011-2014</t>
  </si>
  <si>
    <t>3 216 12 396 3</t>
  </si>
  <si>
    <t>17 08 11 00</t>
  </si>
  <si>
    <t xml:space="preserve">ຄ.ກ  ກໍ່ສ້າງຊົນລະປະທານຈັກສູບນ້ຳ  ບ້ານພະລາຍ (ປະທຸມພອນ) </t>
  </si>
  <si>
    <t>2012-2015</t>
  </si>
  <si>
    <t>3 216 13 493 3</t>
  </si>
  <si>
    <t>ຄ.ກ ກໍ່ສ້າງຊົນລະປະທານບ້ານຊານົນ,ເມືອງມູນ ( ເນືອທີ່ ນາປີ 350ຮຕ, ນາແຊງ 350ຮຕ,ຄອງແມ່ 150ມ ແລະ ຄອງຊອຍ 980ມ),(ຕາຂ່າຍ 22kv,ໝໍ້ແປງ 250 KVA  ຫ້ວຍກະດຽນ)</t>
  </si>
  <si>
    <t>2013-2015</t>
  </si>
  <si>
    <t>3 216 12 397 3</t>
  </si>
  <si>
    <t>17 10 11 00</t>
  </si>
  <si>
    <t>ຄ.ກ  ກໍ່ສ້າງພື້ນພູລະບົບຄອງຊົນລະປະທານ 4 ຈຸດ ຄື: ບ້ານ  ພອງເພາະ, ບ້ານແຊງ,  ບ້ານຫ້ວຍຍາງ ແລະ ບ້ານມ່ວງ ເມືອງໂຂງ</t>
  </si>
  <si>
    <t xml:space="preserve"> - ຄ.ກ  ກໍ່ສ້າງພື້ນພູລະບົບຄອງຊົນລະປະທານບ້ານແຊງ ເມືອງ ປະທຸມພອນ</t>
  </si>
  <si>
    <t xml:space="preserve"> - ຄ.ກ  ກໍ່ສ້າງພື້ນພູລະບົບຄອງຊົນລະປະທານ ບ້ານ ພອງເພາະເມືອງ ປະທຸມພອນ</t>
  </si>
  <si>
    <t xml:space="preserve"> - ຄ.ກ  ກໍ່ສ້າງພື້ນພູລະບົບຄອງຊົນລະປະທານບ້ານຫ້ວຍຍາງ ເມືອງ ປະທຸມພອນ</t>
  </si>
  <si>
    <t xml:space="preserve"> - ຄ.ກ  ກໍ່ສ້າງພື້ນພູລະບົບຄອງຊົນລະປະທານ ບ້ານມ່ວງ ເມືອງໂຂງ</t>
  </si>
  <si>
    <t>3 216 12 398 3</t>
  </si>
  <si>
    <t>ຄ.ກ  ກໍ່ສ້າງຊົນລະປະທານ ບ້ານດອນນາງລອຍ (200 ເຮັກຕາ) ເມືອງມູນ ລະປະໂມກ</t>
  </si>
  <si>
    <t>3 216 11 205 3</t>
  </si>
  <si>
    <t>17 08 12 00</t>
  </si>
  <si>
    <t>ຄ.ກ  ກໍ່ສ້າງສູນບໍລິການເຕັກນິກກະສະກຳ - ປ່າໄມ້ ເມືອງປະທຸມພອນ</t>
  </si>
  <si>
    <t>3 216 13 497 3</t>
  </si>
  <si>
    <t>ຄ.ກ ກໍ່ສ້າງຊົນລະປະທານບ້ານພອງເພາະ,ເມືອງປະທຸມພອນ( ເນື້ອທີ່60ຮຕ,ຄອງເບຕົງ ແລະ ຄອງດິນຈີ່)</t>
  </si>
  <si>
    <t>3 216 14 586 3</t>
  </si>
  <si>
    <t>17 10 07 00</t>
  </si>
  <si>
    <t xml:space="preserve">ຄ.ກ ສ້ອມແປງຄອງສົ່ງນ້ຳ ບ້ານຈຽງໄຊ, ເມືອງ ບາຈຽງ (ຮ.ຮ ກໍ່ສ້າງ ນາຍສິບທະຫານຮາບເຂດ2) ໄລຍະ 2 </t>
  </si>
  <si>
    <t>2014-2017</t>
  </si>
  <si>
    <t>3 216 14 587 3</t>
  </si>
  <si>
    <t>ຄ.ກ ກໍ່ສ້າງຝາຍຕັນນ້ຳໜອງໃນບ້ານສາມສ້າງຫ້ວຍກອງ, ເມືອງປາກຊ່ອງ ( ເມືອງປາກຊ່ອງ)</t>
  </si>
  <si>
    <t>3 216 12 403 3</t>
  </si>
  <si>
    <t xml:space="preserve">ຄ.ກ ກໍ່ສ້າງ ແລະ ສ້ອມແປງຄອງສົ່ງນ້ຳ ບ້ານຈຽງໄຊ, ເມືອງ ບາຈຽງ (ຮ.ຮ ກໍ່ສ້າງ ນາຍສິບທະຫານຮາບເຂດ2) </t>
  </si>
  <si>
    <t>3 216 15 608 3</t>
  </si>
  <si>
    <t>ຄ.ກ ກໍ່ສ້າງຊົນລະປະທານບ້ານໜອງບົວ, ເມືອງປະທຸມພອນ ( ເນື້ອທີ່ 200ເຮັກຕາ ) ພ.ນ</t>
  </si>
  <si>
    <t>2015-2017</t>
  </si>
  <si>
    <t>2 216 12 394 3</t>
  </si>
  <si>
    <t>17 09 05 00</t>
  </si>
  <si>
    <t xml:space="preserve">ຄ.ກ  ປູກໜາກມ່ວງຫີມະພານເປັນສິນຄ້າ 2 ເມືອງຄື:ເມືອງປະທຸມພອນ ແລະ ເມືອງໂຂງ </t>
  </si>
  <si>
    <t>2012-2017</t>
  </si>
  <si>
    <t>2010-2013</t>
  </si>
  <si>
    <t>17 04 00 00</t>
  </si>
  <si>
    <t>17 01 00 00</t>
  </si>
  <si>
    <t>216 05</t>
  </si>
  <si>
    <t>17 08 01 00</t>
  </si>
  <si>
    <t>216 13</t>
  </si>
  <si>
    <t>3 216 11 210 2</t>
  </si>
  <si>
    <t>ຄ.ກ ສົ່ງເສີມໜື່ງເມືອງໜື່ງຜະລິດຕະພັນ ແລະ ພັດທະນາການຄ້າທັນສະໄໜແຂວງຈຳປາສັກ (SME)</t>
  </si>
  <si>
    <t>3 216 11 211 3</t>
  </si>
  <si>
    <t>ຄ.ກ ສຳຫຼວດ-ອອກແບບພະແນກ, ກໍ່ສ້າງຕາຂ່າຍໄຟຟ້າແຮງກາງໃນເຂດ ອຸດສະຫາກຳເມືອງຊະນະສົມບູນ (ພ/ນ)</t>
  </si>
  <si>
    <t>216 50</t>
  </si>
  <si>
    <t>1 216 13 551 2</t>
  </si>
  <si>
    <t>ຄ.ກ ປັບປຸງສິ່ງແວດລ້ອມຕົວເມືອງປາກເຊ ( PUEIP )</t>
  </si>
  <si>
    <t>216 11</t>
  </si>
  <si>
    <t>2 216 11 261 2</t>
  </si>
  <si>
    <t>17 08 03 00</t>
  </si>
  <si>
    <t>ຄ.ກ ກໍ່ສ້າງນ້ຳປະປາເມືອງ ຈຳປາສັກ</t>
  </si>
  <si>
    <t>3 216 13 503 3</t>
  </si>
  <si>
    <t>ຄ.ກ ຕັດຕາຜ້າຜັງບ້ານ ( ບ້ານໂນນສະຫວ່າງ ແລະ ບ້ານດອນເຂາະ ເມືອງປາກເຊ,ບ້ານຫ້ວຍກອງ ແລະ ບ້ານຫຼັກ35 ເມືອງປາກຊ່ອງ ບ້ານນາດີ ແລະ ບ້ານປະໂມກ,ເມືອງມູນ)(ສາມສ້າງ)</t>
  </si>
  <si>
    <t>2 216 10 083 3</t>
  </si>
  <si>
    <t>ຄ.ກ ກໍ່ສ້າງທາງ ບ້ານເສດ - ບ້ານໂສດ</t>
  </si>
  <si>
    <t>2010-2014</t>
  </si>
  <si>
    <t>2 216 11 257 3</t>
  </si>
  <si>
    <t>ຄ.ກ ກໍ່ສ້າງທ່າບັກຫົວພະໃຫຍ່-ບ້ານເວີນຍາງເມືອງມຸນ ( ບ້ານເມືອງແສນ )</t>
  </si>
  <si>
    <t>2011-2016</t>
  </si>
  <si>
    <t xml:space="preserve"> 3 016 03 061 3 </t>
  </si>
  <si>
    <t>ຄ.ກ ກໍ່ສ້າງທາງບຸ່ງຄ້າ-ບ້ານໃໝ່ສິງສຳພັນ</t>
  </si>
  <si>
    <t>2003-2010</t>
  </si>
  <si>
    <t xml:space="preserve">3 016 03 217 3 </t>
  </si>
  <si>
    <t>ຄ.ກ ສົມ​ທົບ​ທຶນກັບປະຊາຊົນ​ກໍ່​ສ້າງ​ທາງປູ​ຢາງ13ເທດ​ສະ​ບານ​ເມືອງ​ປາກ​ເຊ11km</t>
  </si>
  <si>
    <t>3 216 11 262 3</t>
  </si>
  <si>
    <t>ຄ.ກ ປູຢາງທາງເທດສະບານ ເມືອງສຸຂຸມາ</t>
  </si>
  <si>
    <t>3 216 12 455 3</t>
  </si>
  <si>
    <t>ຄ.ກ ກໍ່ສ້າງເສັ້ນທາງປູຢາງ 2 ຊັ້ນ ເຂົ້າ ບ້ານແກ ຫາ ຊົ້ງ  ເມືອງ ປາກເຊ</t>
  </si>
  <si>
    <t>3 216 12 460 3</t>
  </si>
  <si>
    <t>ຄ.ກ  ກໍ່ສ້າງສ້ອມແປງເສັ້ນທາງປູດິນແດງບ້ານຫ້ວຍກອງ-ທົ່ງຫວາຍ-ໜອງ ເມັກເມືອງປາກຊ່ອງ</t>
  </si>
  <si>
    <t>3 216 12 462 3</t>
  </si>
  <si>
    <t>17 10 03 00</t>
  </si>
  <si>
    <t>ຄ.ກ ປັບປຸງທາງສາມແຍກໄຟແດງ-ສະໜາມກິລາ</t>
  </si>
  <si>
    <t>3 216 12 463 3</t>
  </si>
  <si>
    <t>ຄ.ກ ປັບປຸງທາງປູອັດສະຟານ 6 ເລນແຕ່ 4 ແຍກວົງວຽນດາວເຮືອງຫາ ສາມແຍກສະໜາມກິລາ</t>
  </si>
  <si>
    <t>3 216 12 464 3</t>
  </si>
  <si>
    <t>ຄ.ກ ປັບປຸງທາງປູອັດສະຟານ 6 ເລນແຕ່ຫົວຂ້າມນ້ຳຂອງຫາສີ່ແຍກວົງວຽນ ດາວເຮືອງ</t>
  </si>
  <si>
    <t>3 216 12 466 3</t>
  </si>
  <si>
    <t>ຄ.ກ ປັບປຸງຈຸດຫົວຂົວຂ້າມນ້ຳເຊໂດນ 2 ເທດສະບານເມືອງສີ່ແຍກວົງວຽນ ດາວເຮືອງ</t>
  </si>
  <si>
    <t>3 216 13 553 3</t>
  </si>
  <si>
    <t>17 08 02 00</t>
  </si>
  <si>
    <t xml:space="preserve">ຄ.ກ ກໍ່ສ້າງຂົວເຫຼັກເບເລປູແຜ່ນໂຕນ ນ້ຳເຊກະຕາມ,ບ້ານໜອງເມັກ, ເມືອງ ປາກຊ່ອງ (ຍາວ 33,53 ມ,ກວ້າງ 4ມ) </t>
  </si>
  <si>
    <t>3 216 13 554 3</t>
  </si>
  <si>
    <t xml:space="preserve">ຄ.ກ ກໍ່ສ້າງຂົວເບເລຫ້ວຍຍາງຮາວຄູ່ ບ້ານນາແຫກ,ເມືອງປາກເຊ( ຍາວ 34 ມ,ກວ້າງ4ມ) </t>
  </si>
  <si>
    <t>2 216 13 555 3</t>
  </si>
  <si>
    <t>ຄ.ກ ກໍ່ສ້າງທາງເບຕົງຊ້ວງແຍກ 13 ໃຕ້ ເຂົ້າຮ່ອມວິທະຍຸໃສ່ສາລາຂຽວເມືອງປາກເຊ</t>
  </si>
  <si>
    <t>2013-2017</t>
  </si>
  <si>
    <t>3 216 13 558 3</t>
  </si>
  <si>
    <t xml:space="preserve">ຄ.ກ ກໍ່ສ້າງທາງປູດິນແດງເຊື່ອຕໍ່ຍຸທະສາດແຍກທາງ16ບ້ານດົງ-ໜອງຈິກ, ເມືອງໂພນທອງ, ກວ້າງ 6ມ, 2,1 ກມ.( ຂົວເບຕົງເສີມເຫຼັກ ກວ້າງ 3,5 ມ,ຍາວ66 ມ) </t>
  </si>
  <si>
    <t>3 216 14 598 3</t>
  </si>
  <si>
    <t>ຄ.ກ ກໍ່ສ້າງເສັ້ນທາງປູດິແດງບ້ານຫ້ວຍກອງ ( ຕັດຕາຜ້າ,ຖົມດິນຍົກລະດັບວາງທໍ່ລະບາຍນ້ຳ) ເມືອງ ປາກຊ່ອງ ( ບ້ານສາມສ້າງ)</t>
  </si>
  <si>
    <t>3 216 15 609 3</t>
  </si>
  <si>
    <t>ຄ.ກ ກໍສ້າງຂົວເບເລ ບ້ານຫ້ວຍເຕີຍ - ຫ້ວຍຊອຍ ເມືອງ ປາກຊ່ອງ  ທຶນລວມ 1.952,95 ລ້ານກີບ ໃນນັ້ນ: ທຶນແຂວງ 1.066 ລ້ານກີບ, ທຶນປະຊາຊົນ 27 ລ້ານກີບ ແລະ ກົມຂົວ-ທາງ 859,95 ລ້ານກີບ</t>
  </si>
  <si>
    <t>3 216 15 610 3</t>
  </si>
  <si>
    <t>ຄ.ກ ກໍ່ສ້າງຂົວເບເລ ຫ້ວຍກະເພີ ເມືອງຊະນະສົມບູນ ( ໄລຍະ 2 )</t>
  </si>
  <si>
    <t>3 216 15 611 3</t>
  </si>
  <si>
    <t>ຄ.ກ ກໍ່ສ້າງເສັ້ນທາງປູຢາງ 2 ຊັ້ນ ແຍກທາງ 16 - ບ້ານຝັ່ງແດງ,ເມືອງໂພນທອງ ( ຍາວ 5,4 ກິໂລແມັດ, ກວ້າງ 5 ແມັດ) ( ທຶນສົມທົບປະຊາຊົນ 50 ລ້ານກີບ ) ພ.ນ</t>
  </si>
  <si>
    <t>3 216 15 612 3</t>
  </si>
  <si>
    <t>ຄ.ກ ກໍ່ສ້າງທາງດີນແດງດອນຊຽງຫຼ້າ-ດອນຮີ-ໂນນສະຫ່ວາງ-ນາຄວາຍ-ດອນຮີ-ນາດົງ-ຫ້ວຍມັນປາ (ເມືອງຈໍາປາສັກ)</t>
  </si>
  <si>
    <t>3 216 15 613 3</t>
  </si>
  <si>
    <t>ຄ.ກ ກໍ່ສ້າງເສັ້ນທາງເຂົ້າບ້ານນາກະສັງ,ເມືອງໂຂງ  ( ທ່ອງທ່ຽວ )</t>
  </si>
  <si>
    <t>3 216 15 614 3</t>
  </si>
  <si>
    <t>ຄ.ກ ກໍ່ສ້າງເສັ້ນທາງປູດິນແດງເຂົ້າບ້ານສົງເປືອຍ ກຸ່ມບ້ານນາຝັ່ງ ເມືອງໂຂງ ( ເມືອງໂຂງ )</t>
  </si>
  <si>
    <t>3 216 15 615 3</t>
  </si>
  <si>
    <t>ຄ.ກ ກໍ່ສ້າງເສັ້ນທາງປູຢາງສອງຊັ້ນ ບ້ານ ຂີ້ນາກ  ( ເມືອງໂຂງ )</t>
  </si>
  <si>
    <t>2015-2018</t>
  </si>
  <si>
    <t>3 216 11 213 3</t>
  </si>
  <si>
    <t>ຄ.ກ ບູລະນະຮັກສາສວນສາທາ ແລະ ຕົບແຕ່ງຕົ້ນໄມ້ໃນຕົວເມືອງອະນາໄມ ຮ່ອງລະບາຍນ້ຳແຄມທາງ ແລະ ວຽກງານປ້ອງກັນນ້ຳຖ້ວມສ້ອມແປງໄຟຟ້າ ແສງສະຫວ່າງ ແລະ ໄຟອຳນາດ(ອພບຕ )</t>
  </si>
  <si>
    <t>3 216 12 410 3</t>
  </si>
  <si>
    <t>17 10 08 00</t>
  </si>
  <si>
    <t>ຄ.ກ ສ້ອມແປງລະບົບໄຟຟ້າເຍືອງທາງເທດສະບານເມືອງປາກເຊ( ອພບຕ )</t>
  </si>
  <si>
    <t>2 216 13 575 3</t>
  </si>
  <si>
    <t>ຄ.ກ ກໍ່ສ້າງຂົວເບເລ 7 ແຫ່ງໃນເຂດເມືອງຈຳປາສັກ</t>
  </si>
  <si>
    <t>2 216 13 574 3</t>
  </si>
  <si>
    <t>ຄ.ກ ກໍ່ສ້າງທາງເທດສະບານ ເມືອງສຸຂຸມາ</t>
  </si>
  <si>
    <t>2 216 13 569 3</t>
  </si>
  <si>
    <t xml:space="preserve">ຄ.ກ ກໍ່ສ້າງທາງປູຢາງສອງຊັ້ນແຕ່ບ້ານບຸ່ງແກ້ວຫາສີ່ແຍກເມືອງສຸຂຸມາ,ກໍ່ສ້າງທ່າບັກບ້ານບຸ່ນ ແລະ ບ້ານບຸ່ງແກ້ວ </t>
  </si>
  <si>
    <t>2 216 13 570 3</t>
  </si>
  <si>
    <t>ຄ.ກ ກໍ່ສ້າງທາງປູຢາງເຊື່ອມຕໍ່ທາງເລກ13 ໃຕ້ ຫາ ທ່າບັກບ້ານບຸ່ນ ທາງເທດສະບານເມືອງປະທຸມພອນ</t>
  </si>
  <si>
    <t>3 216 13 506 3</t>
  </si>
  <si>
    <t>ຄ.ກ ສຳຫຼວດ-ອອກແບບເສັ້ນທາງອ້ອມຕົວເມືອງປາກເຊ</t>
  </si>
  <si>
    <t>216 08</t>
  </si>
  <si>
    <t>3 216 14 588 3</t>
  </si>
  <si>
    <t>ຄ.ກ ສຳຫຼວດ-ອອກແບບ ວາງແຜນປັບປຸງແຜນຊີ້ນຳລວມ ແລະ ສ້າງແຜນຜັງພັດທະນາລະອຽດໃນຂົງເຂດຕົວເມືອງປາກເຊ</t>
  </si>
  <si>
    <t>3 216 10 036 3</t>
  </si>
  <si>
    <t>ຄ.ກ ສຳຫລວດອອກແບບຈັດສັນສວນສາທາລະນະເມືອງປາກເຊ ( ອພບຕ)</t>
  </si>
  <si>
    <t>2010-2012</t>
  </si>
  <si>
    <t>ຄ.ກ ສ້ອມແປງເສັ້ນທາງເມືອງປາກເຊ, ເມືອງປາກຊ່ອງ ແລະ ເມືອງໂຂງ</t>
  </si>
  <si>
    <t>ຄ.ກ ສ້ອມແປງເສັ້ນທາງ16 ບ້ານຫູັກ 12 ເມືອງໂພນທອງ ຫາ ບ້ານດອນຕະລາດ ເມືອງຈໍາປາສັກ</t>
  </si>
  <si>
    <t>ຄ.ກ ກໍ່ສ້າງເສັ້ນທາງປູຢາງສອງຊັ້ນແຕ່ແຍກທາງ 13 ໃຕ້ເຂົ້າບ້ານນາຫຼັກ-ບ້ານນາໂຫຼ-ໂຊໂລໃຫຍ່-ໂຊໂລນ້ອຍ ເມືອງຊະນະສົມບູນ</t>
  </si>
  <si>
    <t>2010-2015</t>
  </si>
  <si>
    <t>216 12</t>
  </si>
  <si>
    <t>3 216 12 421 3</t>
  </si>
  <si>
    <t>17 08 08 00</t>
  </si>
  <si>
    <t>ຄ.ກ ກໍ່ສ້າງຕາຄ່າຍໄຟ 22 KV,0,4 KV ແລະ ໜໍ້ແປງ ເຂົ້າບ້ານໜອງພະໜວນ, ບ້ານຫ້ວຍຈອດ ເມືອງປາກຊ່ອງ</t>
  </si>
  <si>
    <t>3 216 13 514 3</t>
  </si>
  <si>
    <t>ໂຄງການກໍ່ສ້າງຕາຂ່າຍໄຟຟ້າເຂົ້າຄຸ້ມບ້ານໂນນເອື້ອງ,ຄຸ້ມບ້ານທ່າດ່ານ,ຄຸ້ມບ້ານໜອງຜັກ ໄໝ,ເມືອງສຸຂຸມາ ( 22kv.04kvແລະ ຕິດຕັ້ງໝໍ້ແປງ50kvA,ຍາວ 15,60 km)</t>
  </si>
  <si>
    <t>3 216 14 589 3</t>
  </si>
  <si>
    <t>ຄ.ກ ກໍ່ສ້າງຕາຂ່າຍໄຟຟ້ານ້ຳ ເຂົ້າບ້ານໝໍ້ - ບ້ານ ໂຄກກຸງ, ເມືອງໂພນທອງ (​ຕາຂ່າຍໄຟຟ້າ 22kv)ພ.ນ</t>
  </si>
  <si>
    <t>3 216 15 616 3</t>
  </si>
  <si>
    <t>ຄ.ກ ກໍ່ສ້າງຕາຂ່າຍ 22KV,0.4KV ແລະ ໝໍ້ແປງເຂົ້າບ້ານດອນທໍລະທີ ເມືອງໂຂງ ພ.ນ</t>
  </si>
  <si>
    <t>ໂຄງການກໍ່ສ້າງຕາຂ່າຍໄຟຟ້າ 22 KV, 0,4 KV ແລະ ຕິດຕັ້ງໝໍ້ແປງ ເຂົ້າບ້ານນາດີ, ເມືອງມູນລະປະໂມກ( ເມືອງ )</t>
  </si>
  <si>
    <t>ໂຄງການກໍ່ສ້າງຕາຂ່າຍໄຟຟ້າ 22 KV, 0,4 KV ແລະ ຕິດຕັ້ງໝໍ້ແປງ ເຂົ້າບ້ານດອນສໍາໂຮງ</t>
  </si>
  <si>
    <t>ໂຄງການກໍ່ສ້າງຕາຂ່າຍໄຟຟ້າ22 KV, 0,4 KV ແລະ ຕິດຕັ້ງໝໍ້ແປງເຂົ້າບ້ານໜອງເອກ. ເມືອງປະທຸມພອນ</t>
  </si>
  <si>
    <t xml:space="preserve">216 12 </t>
  </si>
  <si>
    <t>216 16</t>
  </si>
  <si>
    <t>2 216 12 434 3</t>
  </si>
  <si>
    <t>ຄ.ກ ກໍ່ສ້າງ ສະໜາມກິລາເມືອງປະທຸມພອນ( ຜາມໄຊ, ຫ້ອງນ້ຳ, ເດີ່ນ ບານ+ສະໜາມຕ່າງໆ,ຫ້ອງການ,ອ່າງເກັບນ້ຳ)</t>
  </si>
  <si>
    <t>3 216 13 524 3</t>
  </si>
  <si>
    <t>ຄ.ກ ກໍ່ສ້າງໂຮງຮຽນມັດທະຍົມສົມບູນປາກເຊ(3ຊັ້ນ),ເມືອງປາກເຊ( 40ມ x 9 )</t>
  </si>
  <si>
    <t>3 216 14 591 3</t>
  </si>
  <si>
    <t xml:space="preserve">ຄ.ກ ກໍ່ສ້າງໂຮງຮຽນປະຖົມສົມບູນ ບ້ານໜອງຢາເທີງ,ເມືອງປາກຊ່ອງ(  6 ຫ້ອງ)(ສາມສ້າງ) </t>
  </si>
  <si>
    <t>3 216 13 518 3</t>
  </si>
  <si>
    <t>ຄ.ກ ກໍ່ສ້າງໂຮງຮຽນປະຖົມສົມບູນບ້ານຊານຫວ້າ ແລະ ບ້ານຫ້ວຍໂກ,ເມືອງມູນລະປະໂມກ(42ມx8)</t>
  </si>
  <si>
    <t>3 216 15 617 3</t>
  </si>
  <si>
    <t>ຄ.ກ ກໍ່ສ້າງ ໂຮງຮຽນ ປະຖົມນ້ຳພາກ ຫລັກ 25 ແລະ ບ້ານຫລັກ 40 ເມືອງປະທຸມພອນ ( ພ.ນ )</t>
  </si>
  <si>
    <t xml:space="preserve"> - ຄ.ກ ກໍ່ສ້າງ ໂຮງຮຽນ ປະຖົມນ້ຳພາກ ຫລັກ 25  ເມືອງປະທຸມພອນ ( ພ.ນ )</t>
  </si>
  <si>
    <t xml:space="preserve"> - ຄ.ກ ກໍ່ສ້າງ ໂຮງຮຽນ ປະຖົມນ້ຳພາກ ບ້ານຫລັກ 40 ເມືອງປະທຸມພອນ ( ພ.ນ )</t>
  </si>
  <si>
    <t>3 216 15 618 3</t>
  </si>
  <si>
    <t>ຄ.ກ ກໍ່ສ້າງອາຄານຮຽນມັດທະຍົມສົມບູນລົບປາດີ ເມືອງໂຂງ ( ເມືອງໂຂງ )</t>
  </si>
  <si>
    <t>3 216 15 619 3</t>
  </si>
  <si>
    <t>ຄ.ກ ກໍ່ສ້າງໂຮງຮຽນປະຖົມສົມບູນ 2 ຫຼັງ ແລະ ມັດທະຍົມ ບ້ານນາກະສັງ ເມືອງໂຂງ</t>
  </si>
  <si>
    <t>3 216 15 620 3</t>
  </si>
  <si>
    <t>ຄ.ກ ກໍ່ສ້າງໂຮງຮຽນມັດທະຍົມຕົ້ນ 2 ຊັ້ນ ບ້ານຈັດສັນຫຼັກ7(ເມືອງປາກເຊ)</t>
  </si>
  <si>
    <t>3 216 15 621 3</t>
  </si>
  <si>
    <t>ຄ.ກ ກໍ່ສ້າງໂຮງຮຽນປະຖົມສົມບູນບ້ານນາແກວ, ເມືອງຊະນະສົມບູນ ( ຂະໜາດ 42,2ແມັດx8ແມັດ)(ເມືອງຊະນະສົມບູນ )</t>
  </si>
  <si>
    <t>3 216 15 622 3</t>
  </si>
  <si>
    <t>ຄ.ກ ກໍ່ສ້າງໂຮງຮຽນປະຖົມບ້ານຈິກ ເມືອງໂພນທອງ ( ເມືອງໂພນທອງ )</t>
  </si>
  <si>
    <t>3 216 15 623 3</t>
  </si>
  <si>
    <t>ຄ/ກ ກໍ່ສ້າງ ຮຮ ມັດທະຍົມຕົ້ນບ້ານນາດົງ ເມືອງ ຈຳປາສັກ ( ເມືອງຈໍາປາສັກ )</t>
  </si>
  <si>
    <t>3 216 15 624 3</t>
  </si>
  <si>
    <t>ຄ.ກ ກໍ່ສ້າງໂຮງຮຽນ ມັດທະຍົມສົມບູນ ບ້ານດົງຍາງ,ເມືອງໂພນທອງ  (ພ.ນ )</t>
  </si>
  <si>
    <t>2 216 15 625 3</t>
  </si>
  <si>
    <t>ຄ.ກ ກໍ່ສ້າງສະໝາມ ແລະ ສິ່ງອຳນວຍຄວາມສະດວກທີ່ຈຳເປັນໃຫ້ແກ່ສະໝາມກິລາເມືອງຊະນະສົມບູນ, ແຂວງຈຳປາສັກ</t>
  </si>
  <si>
    <t>3 216 15 626 3</t>
  </si>
  <si>
    <t>ຄ.ກ ກໍ່ສ້າງໂຮງຮຽນປະຖົມສົມບູນບ້ານໂຢງ ເມືອງຊະນະສົມບູນ</t>
  </si>
  <si>
    <t>3 216 11 279 3</t>
  </si>
  <si>
    <t>17 09 02 00</t>
  </si>
  <si>
    <t>ຄ.ກ​ ຈັດຊີ້ ວັດສະດຸກໍ່ສ້າງສົມທົບປະຊາຊົນ</t>
  </si>
  <si>
    <t>216  09</t>
  </si>
  <si>
    <t>3 216 12 423 3</t>
  </si>
  <si>
    <t>ຄ.ກ ຂະຫຍາຍເນື້ອທີ່ດິນວິທະຍາໄລການເງິນພາກໃຕ້</t>
  </si>
  <si>
    <t>ຄ.ກ ກໍ່ສ້າງພະແນກສຶກສາແຂວງຈໍາປາສັກ ( ພະແນກ )</t>
  </si>
  <si>
    <t>ຄ.ກ ກໍ່ສ້າງໂຮໃຮຽນປະຖົມບ້ານເກົ່າເກີງ ເມືອງໂພນທອງ</t>
  </si>
  <si>
    <t>17 10 01 00</t>
  </si>
  <si>
    <t>2008-2010</t>
  </si>
  <si>
    <t>216 17</t>
  </si>
  <si>
    <t>3 216 13 530 3</t>
  </si>
  <si>
    <t xml:space="preserve">ຄ.ກ ກໍ່ສ້າງໂຮງໝໍເມືອງໂຂງ  (16x55ມ) </t>
  </si>
  <si>
    <t>3 216 13 532 3</t>
  </si>
  <si>
    <t>ຄ.ກ ກໍ່ສ້າງສູນບໍລິການດ້ານສຸຂະພາບຫຼັກ7ແລະ ຮົ້ວ,ເມືອງປາກເຊ ( 40X19)</t>
  </si>
  <si>
    <t>3 216 14 593 3</t>
  </si>
  <si>
    <t>ຄ.ກ  ຕໍ່ເຕີມຂະຫຍາຍໂຮງໝໍດອນຕະລາດ, ເມືອງຈຳປາສັກ ( ພ.ນ)</t>
  </si>
  <si>
    <t>3 216 14 594 3</t>
  </si>
  <si>
    <t>ຄ.ກ  ຕໍ່ເຕີມອາຄານປິ່ນປົວເດັກໂຮງໝໍແຂວງ, ເມືອງປາກເຊ ( ພ.ນ)</t>
  </si>
  <si>
    <t>3 216 15 627 3</t>
  </si>
  <si>
    <t>ຄ.ກ ກໍ່ສ້າງສຸກສາລາບ້ານດອນສັນ, ບ້ານ ໂພນຈໍາປາແລະບ້ານຂີ້ນາກເມືອງໂຂງ ( ເມືອງ )</t>
  </si>
  <si>
    <t>3 216 15 628 3</t>
  </si>
  <si>
    <t>ຄ.ກ ກໍ່ສ້າງໂຮງໝໍ ເມືອງ ໂພນທອງ</t>
  </si>
  <si>
    <t xml:space="preserve">216 14 </t>
  </si>
  <si>
    <t>3 216 10 055 3</t>
  </si>
  <si>
    <t>17 08 09 00</t>
  </si>
  <si>
    <t>ຄ.ກ ຕິດຕັ້ງເຄື່ອງສົ່ງໂທລະພາບ 5 KW</t>
  </si>
  <si>
    <t>3 216 10 057 3</t>
  </si>
  <si>
    <t>ຄ.ກ ຕິດຕັ້ງເຄື່ອງສົ່ງທະຍຸ  FM 5 KW</t>
  </si>
  <si>
    <t>216 14</t>
  </si>
  <si>
    <t>2 216 13 540 3</t>
  </si>
  <si>
    <t>ຄ.ກ ກໍ່ສ້າງພະແນກຖະແຫຼວງຂ່າວ,ວັດທະນະທຳ ແລະ ທ່ອງທ່ຽວ</t>
  </si>
  <si>
    <t>3 216 10 052 3</t>
  </si>
  <si>
    <t>17 05 00 00</t>
  </si>
  <si>
    <t>ຄ.ກ ສ້າງຄອບຄົວ ແລະ ບ້ານວັດທະນາທຳ ໃນທົ່ວແຂວງ</t>
  </si>
  <si>
    <t>2010-13</t>
  </si>
  <si>
    <t>3 216 10 053 3</t>
  </si>
  <si>
    <t>17 10 09 00</t>
  </si>
  <si>
    <t>ຄ.ກ ປັບປຸງລະບົບສື່ສານ ມວນຊົນ ແລະ ຝືກອົບຮົມນັກຂ່າວ</t>
  </si>
  <si>
    <t>3 216 12 439 3</t>
  </si>
  <si>
    <t>17 05 04 00</t>
  </si>
  <si>
    <t>ຄ.ກ ສົ່ງເສີມຫັດຖະກຳເຄື່ອງທີ່ລະລຶກຮັບໃຊ້ການທ່ອງທ່ຽວ ແລະ ພັດທະນາ ພື້ນຖານວັດທະນະທຳຮັບໃຊ້ການທ່ອງທ່ຽວເມືອງປາກເຊ</t>
  </si>
  <si>
    <t>2012-14</t>
  </si>
  <si>
    <t>216 55</t>
  </si>
  <si>
    <t>3 216 11 278 3</t>
  </si>
  <si>
    <t>ຄ.ກ ສຳຫຼວດ - ຂຶ້ນທະບຽນແຫຼ່ງທ່ອງທ່ຽວ 10 ເມືອງ, ສືກສາຄວາມເປັນ ໄປໄດ້ໃນການລົງທຶນເພື່ອພັດທະນາການທ່ອງທ່ຽວ ເມືອງປາກຊ່ອງ</t>
  </si>
  <si>
    <t>211-14</t>
  </si>
  <si>
    <t>3 216 11 241 3</t>
  </si>
  <si>
    <t xml:space="preserve">ຄ.ກ ອະນຸລັກສີລະປະວັດທະນະທຳບັນດາເຜົ່າແລະພັດທະນາດົນຕີພື້ນເມືອງ </t>
  </si>
  <si>
    <t>2011-14</t>
  </si>
  <si>
    <t>3 216 11 242 3</t>
  </si>
  <si>
    <t>ຄ.ກ ສຳຫລວດຂື້ນທະບຽນມໍລະດົກບູຮານສະຖານ ແລະ ປັບປຸງຫໍພິພິທະ ພັນ, ຫໍສະໝຸດ</t>
  </si>
  <si>
    <t>ຄ.ກ ກໍ່ສ້າງອາຄານຝຶກງານ ແລະ ຮ່ວມມືພັດທະນາຊ່າງໄມ້ລາວ-ຍີ່ປຸ່ນ</t>
  </si>
  <si>
    <t>216 15</t>
  </si>
  <si>
    <t>3 216 13 542 3</t>
  </si>
  <si>
    <t>ຄ.ກ ກໍ່ສ້າງອະນຸສອນສະຖານທ່ານກົມມະດຳ,ເມືອງປາກຊ່ອງ</t>
  </si>
  <si>
    <t>3 216 11 243 3</t>
  </si>
  <si>
    <t>ຄ.ກ ຈັດຫາວຽກເຮັດງານທຳໃຫ້ແຮງງານລາວ ແລະ ແກ້ໄຂແຮງງານຜິດກົດ ໝາຍ,ກໍ່ສ້າງຄູກັນນ້ຳກອງ 185 (ຫຼັກ10)</t>
  </si>
  <si>
    <t>3 216 12 440 3</t>
  </si>
  <si>
    <t>ຄ.ກ ຄຸ້ມຄອງຊ່ວຍເຫຼືອຜູ້ທີ່ຖືກເຄາະຮ້າຍຈາກໄພພິບັດ</t>
  </si>
  <si>
    <t>2 216 12 441 3</t>
  </si>
  <si>
    <t>ຄ.ກ ຝຶກອົບຮົມວິຊາຊີບ ແລະ ສົ່ງເສີມການພັດທະນາສີມືແຮງງານ</t>
  </si>
  <si>
    <t>216 57</t>
  </si>
  <si>
    <t>2 216 12 489 3</t>
  </si>
  <si>
    <t>ຄ.ກ ກໍ່ສ້າງຫ້ອງການຂົງເຂດເສດຖະກິດ ແລະ ວັດທະນະທຳ 2 ເມືອງສຸຂຸມາ, ມູນລະປະໂມກ ( ຫ້ອງການທີ່ດິນ.ແຮງງານສະຫວັດດີການ-ສັງຄົມ, ວັດທະນະທຳ ແລະ ທ່ອງທ່ຽວ, ວິທະຍາສາດ ແລະ ເທັກໂນໂລຊີ )</t>
  </si>
  <si>
    <t xml:space="preserve">- ຄ.ກ ກໍ່ສ້າງຫ້ອງການຂົງເຂດເສດຖະກິດ ແລະ ວັດທະນະທຳ  ເມືອງສຸຂຸມາ </t>
  </si>
  <si>
    <t>- ຄ.ກ ກໍ່ສ້າງຫ້ອງການຂົງເຂດເສດຖະກິດ ແລະ ວັດທະນະທຳ  ມູນລະປະໂມກ</t>
  </si>
  <si>
    <t xml:space="preserve"> 2 016 08 435 3 </t>
  </si>
  <si>
    <t>17 02 00 00</t>
  </si>
  <si>
    <t>ຄ.ກ ຍົກຍ້າຍປະຊາຊົນອອກຈາກສະໜາມບີນ ( ເຂດພັດທະນາໂຮງສີ+ ຫ້ອງວ່າການ )</t>
  </si>
  <si>
    <t>3 216 11 276 3</t>
  </si>
  <si>
    <t xml:space="preserve">ຄ.ກ ສ້ອມແປງ ແລະ ກໍ່ສ້າງສຳນັກງານປົກຄອງເມືອງໂຂງ </t>
  </si>
  <si>
    <t>3 216 11 277 3</t>
  </si>
  <si>
    <t>ຄ.ກ ກໍ່ສ້າງອາຄານສະໂມສອນປະຈຳເມືອງ ບາຈຽງ</t>
  </si>
  <si>
    <t>3 216 12 474 3</t>
  </si>
  <si>
    <t>ຄ.ກ ກໍ່ສ້າງສະໂມສອນເມືອງມູນລະປະໂມກ</t>
  </si>
  <si>
    <t>3 216 12 477 3</t>
  </si>
  <si>
    <t>ຄ.ກ ປັບປຸງສ້ອມແປງຫຼັງຄາ-ເຄື່ອງສຽງຫ້ອງວ່າການປົກຄອງແຂວງ</t>
  </si>
  <si>
    <t>216 04</t>
  </si>
  <si>
    <t>3 216 13 574 3</t>
  </si>
  <si>
    <t>ຄ.ກ ກໍ່ສ້າງຫ້ອງການ ປກສ ເມືອງ ຈຳປາສັກ</t>
  </si>
  <si>
    <t>3 216 13 575 3</t>
  </si>
  <si>
    <t>ຄ.ກ ກໍ່ສ້າງຫ້ອງການ ປກສ ເມືອງ ໂພນທອງ</t>
  </si>
  <si>
    <t>2 216 13 583 3</t>
  </si>
  <si>
    <t>ຄ.ກ ກໍ່ສ້າງຮົ້ວ,ຖົມເດີ່ນ,ຮ່ອງລະບາຍນ້ຳ,ເທເບຕົງ,ຕິດຕັ້ງໝໍ້ແປງ ແລະ ປະກອບເຄື່ອງເຟີນີເຈີເຂົ້າສະໂມສອນເມືອງມູນລະປະໂມກ</t>
  </si>
  <si>
    <t>2013-2018</t>
  </si>
  <si>
    <t>3 216 13 580 3</t>
  </si>
  <si>
    <t>ຄ.ກ ກໍ່ສ້າງຫ້ອງການນາຍບ້ານ 6 ບ້ານ(ບ້ານໂນນສະຫວ່າງ ແລະ ບ້ານດອນເຂາະ,ບ້ານຫ້ວຍກອງ ແລະ ບ້ານຫຼັກ35ບ້ານນາດີ ແລະ ບ້ານປະໂມກ)</t>
  </si>
  <si>
    <t>3 216 14 599 3</t>
  </si>
  <si>
    <t>ຄ.ກ ກໍ່ສ້າງຫ້ອງການຂົງເຂດການເມືອງ, ວັດທະນະທຳ ແລະ ສັງຄົມ ເມືອງປາກຊ່ອງ ( ສາມສ້າງ)</t>
  </si>
  <si>
    <t>3 216 14 600 3</t>
  </si>
  <si>
    <t>ຄ.ກ ກໍ່ສ້າງສະໂມສອນເມືອງບາຈຽງ ( ໄລຍະ 3) (ຫ້ອງວ່າການ)</t>
  </si>
  <si>
    <t>3 216 14 602 3</t>
  </si>
  <si>
    <t>ຄ.ກ ໂຄງການກໍ່ສ້າງສະໂມສອນເມືອງ ໂພນທອງ</t>
  </si>
  <si>
    <t>3 216 14 603 3</t>
  </si>
  <si>
    <t>ຄ.ກ ໂຄງການກໍ່ສ້າງສະໂມສອນເມືອງ ເມືອງປະທຸມ</t>
  </si>
  <si>
    <t>216 06</t>
  </si>
  <si>
    <t>3 216 14 605 3</t>
  </si>
  <si>
    <t>17 10 15 00</t>
  </si>
  <si>
    <t>ຄ.ກ ສ້ອມແປງເດີນ ແລະ ຮົ້ວ ພະແນກຕ່າງປະເທດ ( ພ.ນ )</t>
  </si>
  <si>
    <t>3 216 13 578 3</t>
  </si>
  <si>
    <t>ຄ.ກ ກໍ່ສ້າງສາລາພິທີການວັດພູຈຳປາສັກ,ບ້ານໜອງສະ ກຸ່ມ2(ໜອງວຽນ) ,ເມືອງຈຳປາສັກ</t>
  </si>
  <si>
    <t xml:space="preserve">216 04 </t>
  </si>
  <si>
    <t>3 216 11 264 3</t>
  </si>
  <si>
    <t>ຄ.ກ ກໍ່ສ້າງຫ້ອງການກອງພັນ 709 , ງໍ 22, ງໍ 20( ທະຫານແຂວງ )</t>
  </si>
  <si>
    <t>3 216 12 478 3</t>
  </si>
  <si>
    <t>ຄ.ກ ກໍ່ສ້າງເຮືອນນອນທະຫານທ້ອງຖິ່ນ ( ທະຫານແຂວງ )</t>
  </si>
  <si>
    <t>3 216 13 585 3</t>
  </si>
  <si>
    <t>ຄ.ກ ກໍ່ສ້າງລະບົບຄ້າຍຄຸມຂັງດັດສ້າງບ້ານຊົ້ງເຊ, ເມືອງປາກເຊ</t>
  </si>
  <si>
    <t>3 216 15 630 3</t>
  </si>
  <si>
    <t xml:space="preserve">ຄ.ກ ກໍ່ສ້າງຫ້ອງກັກຂັງນັກໂທດບ້ານຊົ້ງ (ກໍ່ສ້າງຕາຂ່າຍໄຟຟ້າ, ກໍ່ສ້າງທາງອ້ອມຄຸມຂັງ ແລະ ຖົມດິນ )( ປກຊເມືອງ) </t>
  </si>
  <si>
    <t>3 216 15 631 3</t>
  </si>
  <si>
    <t>ຄ.ກ ກໍ່ສ້າງເຮືອນພັກກຳລັງຕຳຫລວດປະຈຳຊາຍແດນລາວ-ກຳປູເຈຍ   ( ປກສ )</t>
  </si>
  <si>
    <t>3 216 15 632 3</t>
  </si>
  <si>
    <t>ຄ.ກ ປະກອບເຄື່ອງເຟີນີເຈີເຂົ້າໃສ່ສະໂມສອນເມືອງຈໍາປາສັກ</t>
  </si>
  <si>
    <t>216 58</t>
  </si>
  <si>
    <t>3 216 15 633 3</t>
  </si>
  <si>
    <t>ຄ.ກ ຕິດຕັ້ງໝໍ້ແປງ 250KVA ພ້ອມຕາຂ່າຍແຮງຕ່ຳເຂົ້າພະແນກ, ສູນຝຶກອົບຮົມ ແລະ ສູນຄຸ້ມຄອງຄື້ນຄວາມຖີ່</t>
  </si>
  <si>
    <t xml:space="preserve">216 23 </t>
  </si>
  <si>
    <t>3 216 11 247 3</t>
  </si>
  <si>
    <t>ຄ.ກ ຝຶກອົບຮົມຍົກລະດັບວິຊາສະເພາະເກັບກຳຂໍ້ມູນ,ສະໜອງຂໍ້ມູນ ແລະ ເປີດຝຶກອົບຮົມວຽກງານກວດກາໃຫ້ 10 ຕົວເມືອງ (ກວດກາພັກ-ລັດ)</t>
  </si>
  <si>
    <t>216 24</t>
  </si>
  <si>
    <t>3 216 12 447 3</t>
  </si>
  <si>
    <t>17 05 03 00</t>
  </si>
  <si>
    <t>ຄ.ກ ກໍ່ສ້າງພ/ງໃນການຄົ້ນຄວ້າທິດສະດີພາຍໃນ-ຕ່າງປະເທດ, ຈັດສົ່ງພ/ງ ໄປຮຽນຕໍ່ສສຫວຽດ, ການສອນພາສາລາວ-ຫວຽດ ( ຈັດຕັ້ງແຂວງ)</t>
  </si>
  <si>
    <t>3 216 13 529 3</t>
  </si>
  <si>
    <t>ຄ.ກ ນຳພາພະນັກງານບຳນານອາວຸໂສໄປທັດສະນະພັກຜ່ອນກວດສຸຂະພາບ  (ຈຳນວນ 30 ທ່ານ)</t>
  </si>
  <si>
    <t>3 216 10 062 3</t>
  </si>
  <si>
    <t>ຄ.ກ ສຳຫລວດຄຸ້ມຄອງ 13 ຍອດແຫລ່ງນ້ຳ ມ. ປາກຊ່ອງ (ຊັບພະຍາກອນ)</t>
  </si>
  <si>
    <t>216 30</t>
  </si>
  <si>
    <t>3 216 13 544 3</t>
  </si>
  <si>
    <t>17 06 00 00</t>
  </si>
  <si>
    <t>ຄ.ກ ຝຶກອົບຮົມການເມືອງແນວຄິດໃຫ້ພະນັກງານບຳນານທົ່ວແຂວງ (ຈັດຕັ້ງແຂວງ )</t>
  </si>
  <si>
    <t>216 25</t>
  </si>
  <si>
    <t>3 216 12 446 3</t>
  </si>
  <si>
    <t>ຄ.ກ ຝຶກອົບຮົມວຽກງານຊັ້ນຄົນອົງການຈັດຕັ້ງສັງຄົມ ( ແນວລາວ )</t>
  </si>
  <si>
    <t>216 07</t>
  </si>
  <si>
    <t>3 216 12 443 3</t>
  </si>
  <si>
    <t>ຄ.ກ ຂະຫຍາຍບົດບາດອຳນາດລັດໃນຂັ້ນຮາກຖານ-ບ້ານ ( ພະແນກຍຸຕິທຳ )</t>
  </si>
  <si>
    <t>3 216 12 451 3</t>
  </si>
  <si>
    <t>ຄ.ກ ຝຶກອົບຮົມທະຫານທ້ອງຖິ່ນ ( ທະຫານ)</t>
  </si>
  <si>
    <t xml:space="preserve">216 05 </t>
  </si>
  <si>
    <t>3 216 11 244 3</t>
  </si>
  <si>
    <t>ຄ.ກ ສ້າງຄວາມເຂັ້ມແຂງວຽກງານ ປກຊ - ປກສ ຂັ້ນບ້ານ ແລະ ກຸ່ມບ້ານ ປກສ ແຂວງ</t>
  </si>
  <si>
    <t>3 216 10 065 3</t>
  </si>
  <si>
    <t xml:space="preserve">ຄ.ກ ຍົກລະດັບສະຖິຕິຂັ້ນບ້ານ ແລະ ສູນຂໍ້ມູນຂ່າວສານ </t>
  </si>
  <si>
    <t>216  52</t>
  </si>
  <si>
    <t>3 216 11 223 3</t>
  </si>
  <si>
    <t>ຄ.ກ ສົົ່ງເສີມວິຊາການເຄືອຄ່າຍຄອມພີວເຕີ  ແລະ ການເງິນຂັ້ນບ້ານ</t>
  </si>
  <si>
    <t>3 216 10 060 3</t>
  </si>
  <si>
    <t>ຄ.ກ ສ້າງຍຸດທະສາດ ຮ່ວມມື ກັບແຂວງ ພາກກາງ,ໃຕ້ ສ. ສຫວຽດນາມ ແລະ ຈີນ</t>
  </si>
  <si>
    <t>3 216 10 063 3</t>
  </si>
  <si>
    <t>ຄ.ກ ສ້າງແຜນແມ່ບົດໃນການພັດທະນາ ແລະ ແຜນງານໂຄງການ ( C L V )</t>
  </si>
  <si>
    <t>3 216 10 064 3</t>
  </si>
  <si>
    <t>ຄ.ກ ຍົກລະດັບວຽກງານແຜນ​ໃນ 10​ ເມືອງ(ແຜນການ-ການລົງທຶນ) ແລະ ສ້າງແຜນ 5 ປີ 2016-2020</t>
  </si>
  <si>
    <t>3 216 13 549 3</t>
  </si>
  <si>
    <t>ຄ.ກ ສ້າງຄວາມເຂັ້ມແຂງວຽກງານແຜນການຂັ້ນບ້ານ ໃນ 644 ບ້ານ ໃນ 10 ຕົວເມືອງ</t>
  </si>
  <si>
    <t>216 56</t>
  </si>
  <si>
    <t>3 216 11 250 3</t>
  </si>
  <si>
    <t>ຄ.ກ ສຳຫຼວດວັດແທກເນື້ອທີ່ດີນເບື່ອງຕົ້ນຄ. ກພັດທະນາມະຫານາທີສີພັນດອນ</t>
  </si>
  <si>
    <t>3 216 13 516 3</t>
  </si>
  <si>
    <t>ໂຄງການຊົດເຊີຍຍົກຍ້າຍປະຊາຊົນອອກຈາກດິນມະຫາໄລຈຳປາສັກ</t>
  </si>
  <si>
    <t>216 09</t>
  </si>
  <si>
    <t>3 216 11 248 3</t>
  </si>
  <si>
    <t>ຄ.ກ ປັບປຸງແລະສ້າງຄວາມເຂັ້ມແຂງແກ່ເອື້ອຍນ້ອງແມ່ຍີງແລະເດັກທົ່ວ ແຂວງ, ບົດບາດຍິງ-ຊາບ(ຄກມຂ, ຄກດຂ ແມ່ຍິງ)</t>
  </si>
  <si>
    <t xml:space="preserve">216 08 </t>
  </si>
  <si>
    <t>3 216 11 249 3</t>
  </si>
  <si>
    <t>ຄ.ກ ປັບປຸງຈັດຕັ້ງຊາວໜຸ່ມຂັ້ນຮາກຖານ ແລະ ພັດທະນາອະນຸຊົນ-ເຍົາວະຊົນທັນວາ(ຊາວຫນຸ່ມ)</t>
  </si>
  <si>
    <t xml:space="preserve">216 52 </t>
  </si>
  <si>
    <t>3 216 11 246 3</t>
  </si>
  <si>
    <t>ຄ.ກ ເກັບກຳຂໍ້ມູນ,ສະໜອງຂໍ້ມູນ ແລະ ເປີດຝຶກອົບຮົມພະແນກເທັກໂນໂລຊີ</t>
  </si>
  <si>
    <t xml:space="preserve">216 29 </t>
  </si>
  <si>
    <t>3 216 15 629 3</t>
  </si>
  <si>
    <t>ຄ.ກ ສ້າງຄວາມເຂັ້ມແຂງໃຫ້ກອງເລຂາຄະນະກໍາມາທິການເພື່ອຄວາມກ້າວໜ້າຂອງແມ່ຍິງແລະກໍາມະທິການເພື່ອແມ່ ແລະ ເດັກແຂວງຈໍາປາສັກ ( ກໍາມະທິການແມ່ຍິງ )</t>
  </si>
  <si>
    <t>2015-2020</t>
  </si>
  <si>
    <t>ຄ.ກ ກໍ່ສ້າງວົງວຽນສັນຍາລັກວັດພູຈໍາປາສັກ ແລະ ວົງວຽນສັນຍາລັກປາຄ່າ</t>
  </si>
  <si>
    <t>ຄ.ກ ສ້າງຫ້ອງການພະແນກຍຸຕິທໍາແຂວງ ( ທຶນສົມທົບ 3.597 ລ້ານກີບ )</t>
  </si>
  <si>
    <t>ຄ.ກ ກໍສ້າງຫ້ອງການຍຸຕິທຳເມືອງມູນລະປະໂມກ ( ທຶນກະຊວງສົມທົບ 200 ລ້ານກີບ )</t>
  </si>
  <si>
    <t>ຄ.ກ ສ້ອມແປງອົງການໄອຍະການປະຊາຊົນແຂວງ</t>
  </si>
  <si>
    <t>ຄ.ກ ປັບປຸງ ແລະ ສ້າງຄວາມເຂັ້ມແຂງວຽກງານແຜນການ-ການລົງທຶນ</t>
  </si>
  <si>
    <t>2017-2018</t>
  </si>
  <si>
    <t>ຄ.ກ ພັດທະນາຄວາມສະເໝີພາບບົດບາດຍິງ-ຊາຍຕ້ານການໃຊ້ຄວາມຮຸນແຮງຕໍ່ແມ່ຍິງ ແລະ ເດັກນ້ອຍທົ່ວແຂວງ</t>
  </si>
  <si>
    <t xml:space="preserve">ໂຄງການຄຸ້ມຄອງຄວາມສ່ຽງໄພພິບັດທາງນ້ຳຖ້ວມທີ່ແຂວງຈໍາປາສັກ </t>
  </si>
  <si>
    <t>ໂຄງການຝຶກອົບຮົມສ້າງຄວາມເຂັ້ນແຂງໃຫ້ແກ່ອໍານາດການປົກຄອງຂັ້ນບ້ານ ແລະ ກຸ່ມບ້ານໃນທົ່ວແຂວງຈໍາປາສັກ (ພະແນກພາຍໃນ  )</t>
  </si>
  <si>
    <t>ຄ.ກ ຄຸ້ມຄອງ 13 ຍອດນ້ຳ ເມືອງປາກຊ່ອງ</t>
  </si>
  <si>
    <t>ຄ.ກ ສໍາຫຼວດ-ອອກແບບສູນກວດສອບຄຸນນະພາບຜະລິດສິນຄ້າ,ເຄື່ອງອຸປະກອນຮັບໃຊ້</t>
  </si>
  <si>
    <t>ຄ.ກ ຈັດຫາເລືອດປອດໄພ ເພື່ອຊ່ວຍເຫຼືອຜູ້ດ້ອຍໂອຫາດ</t>
  </si>
  <si>
    <t>3 216 11 224 3</t>
  </si>
  <si>
    <t>ຄ.ກ ກໍ່ສ້າງຫ້ອງການຂົງເຂດວັດທະນະທຳ ແລະ ຫ້ອງການທີ່ດິນ (ເມືອງຊະນະສົມບູນ) (ຊັບພະຍາກອນ)</t>
  </si>
  <si>
    <t xml:space="preserve">216 50 </t>
  </si>
  <si>
    <t>3 216 11 269 3</t>
  </si>
  <si>
    <t>ຄ.ກ ກໍ່ສ້າງສະໂມສອນເມືອງຈຳປາສັກ</t>
  </si>
  <si>
    <t xml:space="preserve"> 3 016 08 427 3 </t>
  </si>
  <si>
    <t>ຄ.ກ ກໍ່ສ້າງສະໂມສອນປົກຄອງ ເມືອງປາກຊ່ອງ</t>
  </si>
  <si>
    <t>3 216 13 579 3</t>
  </si>
  <si>
    <t>ຄ.ກ ກໍ່ສ້າງສະໂມສອນເມືອງປາກເຊ</t>
  </si>
  <si>
    <t>3 216 09 029 3</t>
  </si>
  <si>
    <t>ຄ.ກ ກໍ່ສ້າງສະໂມສອນເມືອງໂຂງ</t>
  </si>
  <si>
    <t>2009-2012</t>
  </si>
  <si>
    <t>3 216 11 222 3</t>
  </si>
  <si>
    <t>ຄ.ກ ສ້ອມແປງປັບປຸງໄຟ້າ ແລະ ຫ້ອງນ້ຳ ສຳນັກງານຫ້ອງວ່າການແຂວງ</t>
  </si>
  <si>
    <t>3 216 11 275 3</t>
  </si>
  <si>
    <t>ຄ.ກ ສຳຫຼວດ-ອອກແບບ ແລະກໍ່ສ້າງອາຄານສະໂມສອນປະຈຳເມືອງ ສຸຂຸມາ</t>
  </si>
  <si>
    <t>3 216 09 004 3</t>
  </si>
  <si>
    <t>ຄ.ກ ກໍ່ສ້າງພື້ນຖານໂຄ່ງລ່າງ ດ່ານສາກົນ ຫນອງນົກຂຽນ ເມືອງໂຂງ3</t>
  </si>
  <si>
    <t>3 216 11 270 3</t>
  </si>
  <si>
    <t>ຄ.ກ ກໍ່ສ້າງຮົ້ວອ້ອມ, ອູ່ຈອດລົດຮ້ານອາຫານ, ຫໍພັກພະນັກງານ, ສາງເກັບເຄື່ອງ, ເທເບຕົງດ້ານຫຼັງ ຫ້ອງວ່າການ</t>
  </si>
  <si>
    <t xml:space="preserve">216 06 </t>
  </si>
  <si>
    <t>3 216 11 268 3</t>
  </si>
  <si>
    <t>ຄ.ກ ປັບປຸງ-ສ້ອມແປງພະແນກການຕ່າງປະເທດ ( ພະແນກຕ່າງປະເທດ)</t>
  </si>
  <si>
    <t>3 216 12 476 3</t>
  </si>
  <si>
    <t>ຄ.ກ ສ້ອມແປງຫ້ອງການ ແລະ ເທພື້ນໂຮງຮຽນການເມືອງການປົກຄອງ ແຂວງຈຳປສັກ</t>
  </si>
  <si>
    <t xml:space="preserve"> 2 016 02 125 3 </t>
  </si>
  <si>
    <t>ຄ.ກ ກໍ່ສ້າງຄ້າຍທະຫານ 3 ຕົວເມືອງ</t>
  </si>
  <si>
    <t>2002-2011</t>
  </si>
  <si>
    <t xml:space="preserve"> ຄ.ກ ກໍ່ສ້າງຄ້າຍທະຫານ ເມືອງຊະນະສົມບູນ (ທະຫານແຂວງ)</t>
  </si>
  <si>
    <t xml:space="preserve"> ຄ.ກ ກໍ່ສ້າງຄ້າຍທະຫານເມືອງປາກຊ່ອງ (ທະຫານແຂວງ)</t>
  </si>
  <si>
    <t xml:space="preserve"> ຄ.ກ ກໍ່ສ້າງຄ້າຍທະຫານເມືອງມູນລະປະໂມກ (ທະຫານແຂວງ)</t>
  </si>
  <si>
    <t>3 216 10 079 3</t>
  </si>
  <si>
    <t>ຄ.ກ ກໍ່ສ້າງຫ້ອງການ ປກສ ແຂວງ</t>
  </si>
  <si>
    <t>3 216 12 471 3</t>
  </si>
  <si>
    <t>ຄ.ກ ຕິດຕັ້ງກ້ອງວົງຈອນປິດ( CCTV )ເມືອງປາກເຊ (ຫ້ອງວ່າການປົກຄອງແຂວງ)</t>
  </si>
  <si>
    <t>216 19</t>
  </si>
  <si>
    <t>3 216 13 573 3</t>
  </si>
  <si>
    <t xml:space="preserve">ຄ.ກ ກໍ່ສ້າງຮົ້ວ,ເດີ່ນ,ໄຟຟ້າໃນອາຄານ ຂອງອົງການໄອຍະການປະຊາຊົນພາກໄຕ້ </t>
  </si>
  <si>
    <t>3 216 13 581 3</t>
  </si>
  <si>
    <t>ຄ.ກ ກໍ່ສ້າງຫ້ອງການຍຸຕິທຳເມືອງປາກເຊ</t>
  </si>
  <si>
    <t>3 216 13 576 3</t>
  </si>
  <si>
    <t>ຄ.ກ ຕໍ່ເຕີມຫ້ອງການປກສແຂວງ ແລະ ກໍ່ສ້າງຕາຂ່າຍໄຟຟ້າ,</t>
  </si>
  <si>
    <t>3 216 12 472 3</t>
  </si>
  <si>
    <t>ຄ.ກ ກໍ່ສ້າງຫ້ອງການຄຸ່ມຄອງພົນລະເມືອງ 10 ຕົວເມືອງ ດ້ວຍລະບົບທັນສະໄໝ</t>
  </si>
  <si>
    <t>3 216 12 479 3</t>
  </si>
  <si>
    <t>ຄ.ກ ກໍ່ສ້າງການກອງບັນຊາການ ປ ກ ສ ເມືອງປະທຸມພອນ ( ປກສແຂວງ )</t>
  </si>
  <si>
    <t>3 216 12 425 3</t>
  </si>
  <si>
    <t>ຄ.ກ ກໍ່ສ້າງຮົ້ວ, ເທເບຕົງ ແລະ ສ້ອມແປງສູນຝຶກອົບຮົມໄອທີພ້ອມເຟີນີເຈີ</t>
  </si>
  <si>
    <t>3 216 12 424 3</t>
  </si>
  <si>
    <t>ຄ.ກ ກໍ່ສ້າງຫ້ອງການ ການເງິນ ເມືອງ  ປາກເຊ 2 ຊັ້ນ</t>
  </si>
  <si>
    <t>2 216 11 273 3</t>
  </si>
  <si>
    <t xml:space="preserve">ຄ.ກ ກໍ່ສ້າງຫ້ອງການສະຖິຕິ-ແຜນການ 10 ຕົວເມືອງ  </t>
  </si>
  <si>
    <t>216 52</t>
  </si>
  <si>
    <t>3 216 12 475 3</t>
  </si>
  <si>
    <t>ຄ.ກ ກໍ່ສ້າງຫ້ອງການຂົງເຂດການເມືອງ</t>
  </si>
  <si>
    <t xml:space="preserve">ນະຄອນຫລວງວຽງຈັນ, ວັນທີ </t>
  </si>
  <si>
    <t xml:space="preserve">           ລັດຖະມົນຕີ</t>
  </si>
  <si>
    <t>ກະຊວງແຜນການ ແລະ ການລົງທຶນ</t>
  </si>
  <si>
    <t>1 216 13 499 3</t>
  </si>
  <si>
    <t>ຄ.ກ ກໍ່ສ້າງຊົນລະກະເສດ ອ່າງເກັບນ້ຳຫ້ວຍບັງລຽງ ແຂວງຈຳປາສັກ</t>
  </si>
  <si>
    <t xml:space="preserve"> - ໄລຍະ 1 : ລະບົບຫົວງານ, ເຮືອນຄຸ້ມຄອງ</t>
  </si>
  <si>
    <t xml:space="preserve"> - ໄລຍະ 2 : ຄອງເໝືອງແມ່, ຄອງເໝືອງແມ່ ແລະ ລະບົບຄອງຂັ້ນສອງ</t>
  </si>
  <si>
    <t xml:space="preserve"> - ໄລຍະ 3 : ເໝືອງຄອງຂັ້ນ TC ເສັ້ນພ້ອມອາຄານ</t>
  </si>
  <si>
    <t>2013-23</t>
  </si>
  <si>
    <t>1 216 12 465 3</t>
  </si>
  <si>
    <t>ຄ.ກ ກໍ່ສ້າງທາງປູຢາງ 2 ຊັ້ນ ແຕ່ຫ້ວຍເຜັກ - ເວີນໄຊ ເມືອງໂພນທອງ ຍາວ 12 ກມ</t>
  </si>
  <si>
    <t>1 216 12 467 3</t>
  </si>
  <si>
    <t>ຄ.ກ ກໍ່ສ້າງທາງ 14 A ຊ່ວງ ທີ່ 2 ແຕ່ບ້ານພະພິນ-ທາງຄົບ-ເມືອງສຸຂຸມາ ແຂວງຈຳປາສັກ</t>
  </si>
  <si>
    <t>1 216 13 563 3</t>
  </si>
  <si>
    <t>ຄ.ກ ກໍ່ສ້າງເສັ້ນທາງປູຢາງ ແຕ່ບ້ານຂາ-ບ້ານຫຽງ-ຊ່ອງຕະອູ່ ເມືອງສຸຂຸມາ ແຂວງຈຳປາສັກ</t>
  </si>
  <si>
    <t>1 216 13 564 3</t>
  </si>
  <si>
    <t>ຄ.ກ ກໍ່ສ້າງເສັ້ນທາງປູຢາງຕາຜ້າ ບ້ານຈັດສັນ ຫັລກ 7 ເມືອງປາກເຊ ແຂວງຈຳປາສັກ</t>
  </si>
  <si>
    <t>1 216 13 565 3</t>
  </si>
  <si>
    <t>ຄ.ກ ກໍ່ສ້າງເສັ້ນທາງເລກ 14 A ແຕ່ສຸຂຸມາ-ມູນລະປະໂມກປາກເຊລຳເພົາ(ຊາຍແດນລາວ-ກຳປູເຈ້ຍ) ຍາວ 78 ກມ ແລະ ໂຄງການ 14 C ແຕ່ສີ່ແຍກມູນລະປະໂມກ-ປ່າກ້ວຍ(ສາມຫຼ່ຽມ) 82.2 ກມ</t>
  </si>
  <si>
    <t>2 216 13 568 3</t>
  </si>
  <si>
    <t>2013-19</t>
  </si>
  <si>
    <t>2015-24</t>
  </si>
  <si>
    <t>1 216 13 550 3</t>
  </si>
  <si>
    <t>ຄ.ກ ກໍ່ສ້າງສະໜາມຫັດແອບສິນລະປະຍຸດ-ຍຸດທະວີທິຄົບວົງຈອນ ເຂດປ່າອ່າວ, ເມືອງປະທຸມພອນ, ແຂວງຈຳປາສັກ</t>
  </si>
  <si>
    <t>2 216 13 634 3</t>
  </si>
  <si>
    <t>ຄ.ກ ພັດທະນາແຄມຂອງທີ່ແຂວງຈໍາປາສັກ</t>
  </si>
  <si>
    <t>17 08 06 00</t>
  </si>
  <si>
    <t>17 09 01 00</t>
  </si>
  <si>
    <t>2014-19</t>
  </si>
  <si>
    <t>2014-21</t>
  </si>
  <si>
    <t>2017-20</t>
  </si>
  <si>
    <t>2017-23</t>
  </si>
  <si>
    <t>2017-19</t>
  </si>
  <si>
    <t>2017-21</t>
  </si>
  <si>
    <t xml:space="preserve">                                                                 (ສະເພາະໂຄງການລົງທຶນຂອງລັດ ປະເພດ V)</t>
  </si>
  <si>
    <t>ຄ.ກ ກໍ່ສ້າງເສັ້ນທາງປູຢາງຕາຜ້າ ບ້ານຈັດສັນ ຫັລກ 7 ເມືອງປາກເຊ ແຂວງຈຳປາສັກ (ໄລຍະ 2)</t>
  </si>
  <si>
    <t>1 216 13 573 3</t>
  </si>
  <si>
    <t>ຄ.ກ ກໍ່ສ້າງຂົວເບຕົງອັດແຮງເຊໂດນ 3 ເມືອງປາກເຊ ແຂວງຈໍາປາສັກ</t>
  </si>
  <si>
    <t>2015-25</t>
  </si>
  <si>
    <t>4 216 17 636 3</t>
  </si>
  <si>
    <t>4 216 17 637 3</t>
  </si>
  <si>
    <t>1 216 17 635 2</t>
  </si>
  <si>
    <t>2017-26</t>
  </si>
  <si>
    <t>4 216 17 638 3</t>
  </si>
  <si>
    <r>
      <t xml:space="preserve">ຄ.ກ ກໍ່ສ້າງຂະຫຍາຍໜ້າທາງປູດ້ວຍເບຕົງຊ່ວງຕອນທາງທາງແຕ່ ຫຼັກ </t>
    </r>
    <r>
      <rPr>
        <sz val="14"/>
        <color theme="1"/>
        <rFont val="Times New Roman"/>
        <family val="1"/>
      </rPr>
      <t>9</t>
    </r>
    <r>
      <rPr>
        <sz val="14"/>
        <color theme="1"/>
        <rFont val="Phetsarath OT"/>
      </rPr>
      <t xml:space="preserve"> ເໜືອ ຫາ ຂົວເຊໂດນ</t>
    </r>
    <r>
      <rPr>
        <sz val="14"/>
        <color theme="1"/>
        <rFont val="Times New Roman"/>
        <family val="1"/>
      </rPr>
      <t>1</t>
    </r>
    <r>
      <rPr>
        <sz val="14"/>
        <color theme="1"/>
        <rFont val="Phetsarath OT"/>
      </rPr>
      <t xml:space="preserve"> ຫາ ວົງວຽນຂົວເຊໂດນ</t>
    </r>
    <r>
      <rPr>
        <sz val="14"/>
        <color theme="1"/>
        <rFont val="Times New Roman"/>
        <family val="1"/>
      </rPr>
      <t>2</t>
    </r>
    <r>
      <rPr>
        <sz val="14"/>
        <color theme="1"/>
        <rFont val="Phetsarath OT"/>
      </rPr>
      <t xml:space="preserve"> ເ</t>
    </r>
    <r>
      <rPr>
        <sz val="14"/>
        <color theme="1"/>
        <rFont val="Saysettha OT"/>
        <family val="2"/>
      </rPr>
      <t>ມື</t>
    </r>
    <r>
      <rPr>
        <sz val="14"/>
        <color theme="1"/>
        <rFont val="Phetsarath OT"/>
      </rPr>
      <t>ອງປາກເຊ ແຂວງຈຳປາສັກ</t>
    </r>
  </si>
  <si>
    <r>
      <t xml:space="preserve">ຄ.ກ ກໍ່ສ້າງຂະຫຍາຍໜ້າທາງປູດ້ວຍເບຕົງຊ່ວງຕອນທາງທາງແຕ່ ວົງວຽນເຊໂດນ </t>
    </r>
    <r>
      <rPr>
        <sz val="14"/>
        <color theme="1"/>
        <rFont val="Times New Roman"/>
        <family val="1"/>
      </rPr>
      <t>2</t>
    </r>
    <r>
      <rPr>
        <sz val="14"/>
        <color theme="1"/>
        <rFont val="Phetsarath OT"/>
      </rPr>
      <t xml:space="preserve"> ຫາ ຫຼັກ </t>
    </r>
    <r>
      <rPr>
        <sz val="14"/>
        <color theme="1"/>
        <rFont val="Times New Roman"/>
        <family val="1"/>
      </rPr>
      <t>9</t>
    </r>
    <r>
      <rPr>
        <sz val="14"/>
        <color theme="1"/>
        <rFont val="Phetsarath OT"/>
      </rPr>
      <t xml:space="preserve"> ໃຕ້ ເມືອງປາເຊ ແຂວງຈໍາປາສັກ</t>
    </r>
  </si>
  <si>
    <t xml:space="preserve">                                       (ສະເພາະໂຄງການລົງທຶນຂອງລັດ ປະເພດ I, II, III, IV)</t>
  </si>
  <si>
    <t>4 216 17 639 3</t>
  </si>
  <si>
    <t>ຄ.ກ ກໍ່ສ້າງທາງປູຢາງສອງຊັ້ນຍາວ 3 ກມ, ກວ້າງ 7 ມ ກໍ່ສ້າງທາງດິນແດງຍາວ 7 ກມ, ກວ້າງ 7 ມ ແລະ ຂົວເບຕົງຍາວ 50 ມ ແຕ່ແຍກທາງ 16 ບ້ານແກ້ງກາງ ເມືອງໂພນທອງ ແຂວງຈໍາປາສັກ</t>
  </si>
  <si>
    <t>ລວມທັງໝົດ</t>
  </si>
  <si>
    <r>
      <t xml:space="preserve">                 </t>
    </r>
    <r>
      <rPr>
        <b/>
        <sz val="28"/>
        <color theme="1"/>
        <rFont val="Phetsarath OT"/>
      </rPr>
      <t xml:space="preserve">    ແຜນການລົງທຶນຂອງລັດ ປີ 2017 ສໍາລັບທຶນ ຊກພ ຂອງແຂວງຈໍາປາສັກ</t>
    </r>
    <r>
      <rPr>
        <b/>
        <sz val="36"/>
        <color theme="1"/>
        <rFont val="Phetsarath OT"/>
      </rPr>
      <t xml:space="preserve"> </t>
    </r>
    <r>
      <rPr>
        <b/>
        <sz val="22"/>
        <color theme="1"/>
        <rFont val="Phetsarath OT"/>
      </rPr>
      <t>(ມູນຄ່າຫຼາຍກວ່າ 20 ຕື້ກີບ)</t>
    </r>
    <r>
      <rPr>
        <b/>
        <sz val="36"/>
        <color theme="1"/>
        <rFont val="Phetsarath OT"/>
      </rPr>
      <t xml:space="preserve">
</t>
    </r>
  </si>
  <si>
    <r>
      <rPr>
        <b/>
        <sz val="28"/>
        <rFont val="Phetsarath OT"/>
      </rPr>
      <t>ແຜນການລົງທຶນຂອງລັດ ປີ 2017 ສໍາລັບທຶນ ຊກພ ຂອງແຂວງຈໍາປາສັກ</t>
    </r>
    <r>
      <rPr>
        <b/>
        <sz val="36"/>
        <rFont val="Phetsarath OT"/>
      </rPr>
      <t xml:space="preserve"> </t>
    </r>
    <r>
      <rPr>
        <b/>
        <sz val="22"/>
        <rFont val="Phetsarath OT"/>
      </rPr>
      <t xml:space="preserve">(ມູນຄ່າ 20 ຕື້ກີບ ລົງມາ) </t>
    </r>
    <r>
      <rPr>
        <b/>
        <sz val="36"/>
        <rFont val="Phetsarath OT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</si>
</sst>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(* #,##0.0_);_(* \(#,##0.0\);_(* &quot;-&quot;??_);_(@_)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36"/>
      <name val="Phetsarath OT"/>
    </font>
    <font>
      <sz val="11"/>
      <name val="Calibri"/>
      <family val="2"/>
      <scheme val="minor"/>
    </font>
    <font>
      <b/>
      <sz val="11"/>
      <name val="Phetsarath OT"/>
    </font>
    <font>
      <b/>
      <sz val="12"/>
      <name val="Phetsarath OT"/>
    </font>
    <font>
      <b/>
      <sz val="12"/>
      <name val="Calibri"/>
      <family val="2"/>
      <charset val="222"/>
      <scheme val="minor"/>
    </font>
    <font>
      <b/>
      <sz val="14"/>
      <name val="Phetsarath OT"/>
    </font>
    <font>
      <b/>
      <u/>
      <sz val="14"/>
      <name val="Phetsarath OT"/>
    </font>
    <font>
      <sz val="10"/>
      <name val="Saysettha Lao"/>
      <family val="2"/>
    </font>
    <font>
      <b/>
      <sz val="12"/>
      <name val="Saysettha Lao"/>
      <family val="2"/>
    </font>
    <font>
      <sz val="10"/>
      <name val="Arial"/>
      <family val="2"/>
    </font>
    <font>
      <sz val="11"/>
      <name val="Calibri"/>
      <family val="2"/>
      <charset val="222"/>
      <scheme val="minor"/>
    </font>
    <font>
      <b/>
      <sz val="10"/>
      <name val="Phetsarath OT"/>
    </font>
    <font>
      <sz val="11"/>
      <color theme="1"/>
      <name val="Tahoma"/>
      <family val="2"/>
      <charset val="222"/>
    </font>
    <font>
      <b/>
      <sz val="8"/>
      <name val="Phetsarath OT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Tahoma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Calibri"/>
      <family val="2"/>
      <scheme val="minor"/>
    </font>
    <font>
      <b/>
      <sz val="16"/>
      <name val="Phetsarath OT"/>
    </font>
    <font>
      <u/>
      <sz val="11"/>
      <name val="Calibri"/>
      <family val="2"/>
      <scheme val="minor"/>
    </font>
    <font>
      <b/>
      <sz val="20"/>
      <name val="Phetsarath OT"/>
    </font>
    <font>
      <b/>
      <u/>
      <sz val="16"/>
      <name val="Phetsarath OT"/>
    </font>
    <font>
      <b/>
      <sz val="18"/>
      <name val="Phetsarath OT"/>
    </font>
    <font>
      <sz val="11"/>
      <name val="Phetsarath OT"/>
    </font>
    <font>
      <sz val="14"/>
      <name val="Phetsarath OT"/>
    </font>
    <font>
      <sz val="11"/>
      <name val="Times New Roman"/>
      <family val="1"/>
    </font>
    <font>
      <sz val="12"/>
      <name val="Times New Roman"/>
      <family val="1"/>
    </font>
    <font>
      <sz val="16"/>
      <name val="Calibri"/>
      <family val="2"/>
      <scheme val="minor"/>
    </font>
    <font>
      <u/>
      <sz val="11"/>
      <name val="Times New Roman"/>
      <family val="1"/>
    </font>
    <font>
      <u/>
      <sz val="12"/>
      <name val="Times New Roman"/>
      <family val="1"/>
    </font>
    <font>
      <u/>
      <sz val="14"/>
      <name val="Phetsarath OT"/>
    </font>
    <font>
      <u/>
      <sz val="12"/>
      <name val="Calibri"/>
      <family val="2"/>
      <charset val="222"/>
      <scheme val="minor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Phetsarath OT"/>
    </font>
    <font>
      <b/>
      <i/>
      <u/>
      <sz val="12"/>
      <name val="Times New Roman"/>
      <family val="1"/>
    </font>
    <font>
      <i/>
      <u/>
      <sz val="12"/>
      <name val="Calibri"/>
      <family val="2"/>
      <charset val="222"/>
      <scheme val="minor"/>
    </font>
    <font>
      <i/>
      <sz val="11"/>
      <name val="Calibri"/>
      <family val="2"/>
      <scheme val="minor"/>
    </font>
    <font>
      <sz val="10"/>
      <name val="Times New Roman"/>
      <family val="1"/>
    </font>
    <font>
      <sz val="20"/>
      <name val="Phetsarath OT"/>
    </font>
    <font>
      <b/>
      <u val="singleAccounting"/>
      <sz val="12"/>
      <name val="Times New Roman"/>
      <family val="1"/>
    </font>
    <font>
      <sz val="11"/>
      <color indexed="8"/>
      <name val="Tahoma"/>
      <family val="2"/>
      <charset val="222"/>
    </font>
    <font>
      <sz val="14"/>
      <name val="Calibri"/>
      <family val="2"/>
      <charset val="222"/>
      <scheme val="minor"/>
    </font>
    <font>
      <sz val="12"/>
      <name val="Calibri"/>
      <family val="2"/>
      <charset val="222"/>
      <scheme val="minor"/>
    </font>
    <font>
      <sz val="12"/>
      <name val="Phetsarath OT"/>
    </font>
    <font>
      <i/>
      <sz val="14"/>
      <name val="Calibri"/>
      <family val="2"/>
      <charset val="222"/>
      <scheme val="minor"/>
    </font>
    <font>
      <i/>
      <sz val="11"/>
      <name val="Calibri"/>
      <family val="2"/>
      <charset val="222"/>
      <scheme val="minor"/>
    </font>
    <font>
      <sz val="18"/>
      <name val="Times New Roman"/>
      <family val="1"/>
    </font>
    <font>
      <sz val="18"/>
      <name val="Phetsarath OT"/>
    </font>
    <font>
      <sz val="13"/>
      <name val="Phetsarath OT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b/>
      <sz val="36"/>
      <color theme="1"/>
      <name val="Phetsarath OT"/>
    </font>
    <font>
      <b/>
      <sz val="20"/>
      <color theme="1"/>
      <name val="Phetsarath OT"/>
    </font>
    <font>
      <b/>
      <sz val="11"/>
      <color theme="1"/>
      <name val="Phetsarath OT"/>
    </font>
    <font>
      <b/>
      <sz val="12"/>
      <color theme="1"/>
      <name val="Phetsarath OT"/>
    </font>
    <font>
      <b/>
      <sz val="12"/>
      <color theme="1"/>
      <name val="Calibri"/>
      <family val="2"/>
      <charset val="222"/>
      <scheme val="minor"/>
    </font>
    <font>
      <b/>
      <sz val="14"/>
      <color theme="1"/>
      <name val="Phetsarath OT"/>
    </font>
    <font>
      <b/>
      <u/>
      <sz val="14"/>
      <color theme="1"/>
      <name val="Phetsarath OT"/>
    </font>
    <font>
      <b/>
      <sz val="12"/>
      <color theme="1"/>
      <name val="Saysettha Lao"/>
      <family val="2"/>
    </font>
    <font>
      <b/>
      <sz val="10"/>
      <color theme="1"/>
      <name val="Phetsarath OT"/>
    </font>
    <font>
      <b/>
      <sz val="8"/>
      <color theme="1"/>
      <name val="Phetsarath OT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Phetsarath OT"/>
    </font>
    <font>
      <b/>
      <u/>
      <sz val="16"/>
      <color theme="1"/>
      <name val="Phetsarath OT"/>
    </font>
    <font>
      <sz val="11"/>
      <color theme="1"/>
      <name val="Phetsarath OT"/>
    </font>
    <font>
      <sz val="14"/>
      <color theme="1"/>
      <name val="Phetsarath OT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Calibri"/>
      <family val="2"/>
      <charset val="222"/>
      <scheme val="minor"/>
    </font>
    <font>
      <i/>
      <sz val="12"/>
      <color theme="1"/>
      <name val="Times New Roman"/>
      <family val="1"/>
    </font>
    <font>
      <i/>
      <sz val="14"/>
      <color theme="1"/>
      <name val="Phetsarath OT"/>
    </font>
    <font>
      <b/>
      <i/>
      <u/>
      <sz val="12"/>
      <color theme="1"/>
      <name val="Times New Roman"/>
      <family val="1"/>
    </font>
    <font>
      <i/>
      <u/>
      <sz val="12"/>
      <color theme="1"/>
      <name val="Calibri"/>
      <family val="2"/>
      <charset val="222"/>
      <scheme val="minor"/>
    </font>
    <font>
      <sz val="20"/>
      <color theme="1"/>
      <name val="Phetsarath OT"/>
    </font>
    <font>
      <b/>
      <u val="singleAccounting"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Saysettha OT"/>
      <family val="2"/>
    </font>
    <font>
      <sz val="12"/>
      <color theme="1"/>
      <name val="Phetsarath OT"/>
    </font>
    <font>
      <sz val="10"/>
      <color theme="1"/>
      <name val="Times New Roman"/>
      <family val="1"/>
    </font>
    <font>
      <b/>
      <sz val="18"/>
      <color theme="1"/>
      <name val="Phetsarath OT"/>
    </font>
    <font>
      <sz val="13"/>
      <color theme="1"/>
      <name val="Phetsarath OT"/>
    </font>
    <font>
      <sz val="13"/>
      <color theme="1"/>
      <name val="Times New Roman"/>
      <family val="1"/>
    </font>
    <font>
      <sz val="16"/>
      <name val="Phetsarath OT"/>
    </font>
    <font>
      <b/>
      <sz val="28"/>
      <color theme="1"/>
      <name val="Phetsarath OT"/>
    </font>
    <font>
      <b/>
      <sz val="22"/>
      <color theme="1"/>
      <name val="Phetsarath OT"/>
    </font>
    <font>
      <b/>
      <sz val="28"/>
      <name val="Phetsarath OT"/>
    </font>
    <font>
      <b/>
      <sz val="22"/>
      <name val="Phetsarath O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0" fontId="12" fillId="0" borderId="0"/>
    <xf numFmtId="0" fontId="15" fillId="0" borderId="0"/>
    <xf numFmtId="0" fontId="19" fillId="0" borderId="0"/>
    <xf numFmtId="0" fontId="10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2" fillId="0" borderId="0"/>
    <xf numFmtId="0" fontId="2" fillId="0" borderId="0"/>
    <xf numFmtId="164" fontId="46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518">
    <xf numFmtId="0" fontId="0" fillId="0" borderId="0" xfId="0"/>
    <xf numFmtId="0" fontId="4" fillId="2" borderId="0" xfId="0" applyFont="1" applyFill="1"/>
    <xf numFmtId="0" fontId="5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3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4" xfId="4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4" fillId="2" borderId="11" xfId="0" applyFont="1" applyFill="1" applyBorder="1"/>
    <xf numFmtId="0" fontId="6" fillId="2" borderId="23" xfId="4" applyFont="1" applyFill="1" applyBorder="1" applyAlignment="1">
      <alignment horizontal="center" vertical="center"/>
    </xf>
    <xf numFmtId="0" fontId="6" fillId="2" borderId="24" xfId="4" applyFont="1" applyFill="1" applyBorder="1" applyAlignment="1">
      <alignment horizontal="center" vertical="center"/>
    </xf>
    <xf numFmtId="0" fontId="6" fillId="2" borderId="25" xfId="4" applyFont="1" applyFill="1" applyBorder="1" applyAlignment="1">
      <alignment horizontal="center" vertical="center"/>
    </xf>
    <xf numFmtId="0" fontId="16" fillId="2" borderId="15" xfId="4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4" fontId="21" fillId="2" borderId="17" xfId="0" applyNumberFormat="1" applyFont="1" applyFill="1" applyBorder="1" applyAlignment="1">
      <alignment horizontal="right" vertical="center"/>
    </xf>
    <xf numFmtId="0" fontId="18" fillId="2" borderId="34" xfId="0" applyFont="1" applyFill="1" applyBorder="1" applyAlignment="1">
      <alignment horizontal="center" vertical="center"/>
    </xf>
    <xf numFmtId="4" fontId="20" fillId="2" borderId="17" xfId="0" applyNumberFormat="1" applyFont="1" applyFill="1" applyBorder="1" applyAlignment="1">
      <alignment horizontal="right" vertical="center"/>
    </xf>
    <xf numFmtId="0" fontId="24" fillId="2" borderId="0" xfId="0" applyFont="1" applyFill="1"/>
    <xf numFmtId="0" fontId="4" fillId="2" borderId="0" xfId="0" applyFont="1" applyFill="1" applyBorder="1"/>
    <xf numFmtId="0" fontId="30" fillId="2" borderId="33" xfId="3" applyFont="1" applyFill="1" applyBorder="1" applyAlignment="1">
      <alignment horizontal="center" vertical="center"/>
    </xf>
    <xf numFmtId="0" fontId="31" fillId="2" borderId="17" xfId="3" applyFont="1" applyFill="1" applyBorder="1" applyAlignment="1">
      <alignment horizontal="center" vertical="center"/>
    </xf>
    <xf numFmtId="0" fontId="29" fillId="2" borderId="17" xfId="3" applyFont="1" applyFill="1" applyBorder="1" applyAlignment="1">
      <alignment vertical="center" wrapText="1"/>
    </xf>
    <xf numFmtId="0" fontId="31" fillId="2" borderId="17" xfId="1" applyNumberFormat="1" applyFont="1" applyFill="1" applyBorder="1" applyAlignment="1">
      <alignment horizontal="center" vertical="center"/>
    </xf>
    <xf numFmtId="4" fontId="31" fillId="2" borderId="17" xfId="1" applyNumberFormat="1" applyFont="1" applyFill="1" applyBorder="1" applyAlignment="1">
      <alignment horizontal="right" vertical="center"/>
    </xf>
    <xf numFmtId="4" fontId="31" fillId="2" borderId="17" xfId="11" applyNumberFormat="1" applyFont="1" applyFill="1" applyBorder="1" applyAlignment="1">
      <alignment horizontal="right" vertical="center"/>
    </xf>
    <xf numFmtId="4" fontId="31" fillId="2" borderId="17" xfId="8" applyNumberFormat="1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center" vertical="center"/>
    </xf>
    <xf numFmtId="4" fontId="31" fillId="2" borderId="34" xfId="11" applyNumberFormat="1" applyFont="1" applyFill="1" applyBorder="1" applyAlignment="1">
      <alignment horizontal="right" vertical="center"/>
    </xf>
    <xf numFmtId="4" fontId="31" fillId="2" borderId="0" xfId="11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166" fontId="32" fillId="2" borderId="0" xfId="1" applyNumberFormat="1" applyFont="1" applyFill="1" applyBorder="1"/>
    <xf numFmtId="9" fontId="4" fillId="2" borderId="0" xfId="2" applyFont="1" applyFill="1" applyBorder="1"/>
    <xf numFmtId="3" fontId="31" fillId="2" borderId="17" xfId="3" applyNumberFormat="1" applyFont="1" applyFill="1" applyBorder="1" applyAlignment="1">
      <alignment horizontal="center" vertical="center"/>
    </xf>
    <xf numFmtId="4" fontId="31" fillId="2" borderId="17" xfId="3" applyNumberFormat="1" applyFont="1" applyFill="1" applyBorder="1" applyAlignment="1">
      <alignment horizontal="center" vertical="center"/>
    </xf>
    <xf numFmtId="4" fontId="31" fillId="2" borderId="17" xfId="12" applyNumberFormat="1" applyFont="1" applyFill="1" applyBorder="1" applyAlignment="1">
      <alignment horizontal="right" vertical="center"/>
    </xf>
    <xf numFmtId="0" fontId="13" fillId="2" borderId="17" xfId="0" applyFont="1" applyFill="1" applyBorder="1"/>
    <xf numFmtId="0" fontId="13" fillId="2" borderId="34" xfId="0" applyFont="1" applyFill="1" applyBorder="1"/>
    <xf numFmtId="0" fontId="29" fillId="2" borderId="17" xfId="3" applyFont="1" applyFill="1" applyBorder="1" applyAlignment="1">
      <alignment horizontal="left" vertical="center"/>
    </xf>
    <xf numFmtId="0" fontId="29" fillId="2" borderId="17" xfId="3" applyFont="1" applyFill="1" applyBorder="1" applyAlignment="1">
      <alignment horizontal="left" vertical="center" wrapText="1"/>
    </xf>
    <xf numFmtId="16" fontId="31" fillId="2" borderId="17" xfId="3" applyNumberFormat="1" applyFont="1" applyFill="1" applyBorder="1" applyAlignment="1">
      <alignment horizontal="center" vertical="center"/>
    </xf>
    <xf numFmtId="0" fontId="33" fillId="2" borderId="33" xfId="3" applyFont="1" applyFill="1" applyBorder="1" applyAlignment="1">
      <alignment horizontal="center" vertical="center"/>
    </xf>
    <xf numFmtId="0" fontId="34" fillId="2" borderId="17" xfId="3" applyFont="1" applyFill="1" applyBorder="1" applyAlignment="1">
      <alignment horizontal="center" vertical="center"/>
    </xf>
    <xf numFmtId="0" fontId="35" fillId="2" borderId="17" xfId="3" applyFont="1" applyFill="1" applyBorder="1" applyAlignment="1">
      <alignment horizontal="left" vertical="center" wrapText="1"/>
    </xf>
    <xf numFmtId="3" fontId="34" fillId="2" borderId="17" xfId="3" applyNumberFormat="1" applyFont="1" applyFill="1" applyBorder="1" applyAlignment="1">
      <alignment horizontal="center" vertical="center"/>
    </xf>
    <xf numFmtId="4" fontId="34" fillId="2" borderId="17" xfId="3" applyNumberFormat="1" applyFont="1" applyFill="1" applyBorder="1" applyAlignment="1">
      <alignment horizontal="center" vertical="center"/>
    </xf>
    <xf numFmtId="4" fontId="34" fillId="2" borderId="17" xfId="11" applyNumberFormat="1" applyFont="1" applyFill="1" applyBorder="1" applyAlignment="1">
      <alignment horizontal="right" vertical="center"/>
    </xf>
    <xf numFmtId="4" fontId="34" fillId="2" borderId="17" xfId="8" applyNumberFormat="1" applyFont="1" applyFill="1" applyBorder="1" applyAlignment="1">
      <alignment horizontal="right" vertical="center"/>
    </xf>
    <xf numFmtId="0" fontId="36" fillId="2" borderId="17" xfId="0" applyFont="1" applyFill="1" applyBorder="1"/>
    <xf numFmtId="0" fontId="36" fillId="2" borderId="34" xfId="0" applyFont="1" applyFill="1" applyBorder="1"/>
    <xf numFmtId="0" fontId="37" fillId="2" borderId="33" xfId="3" applyFont="1" applyFill="1" applyBorder="1" applyAlignment="1">
      <alignment horizontal="center" vertical="center"/>
    </xf>
    <xf numFmtId="0" fontId="38" fillId="2" borderId="17" xfId="3" applyFont="1" applyFill="1" applyBorder="1" applyAlignment="1">
      <alignment horizontal="center" vertical="center"/>
    </xf>
    <xf numFmtId="0" fontId="39" fillId="2" borderId="17" xfId="3" applyFont="1" applyFill="1" applyBorder="1" applyAlignment="1">
      <alignment horizontal="left" vertical="center" wrapText="1"/>
    </xf>
    <xf numFmtId="4" fontId="38" fillId="2" borderId="17" xfId="3" applyNumberFormat="1" applyFont="1" applyFill="1" applyBorder="1" applyAlignment="1">
      <alignment horizontal="center" vertical="center"/>
    </xf>
    <xf numFmtId="4" fontId="38" fillId="2" borderId="17" xfId="11" applyNumberFormat="1" applyFont="1" applyFill="1" applyBorder="1" applyAlignment="1">
      <alignment horizontal="right" vertical="center"/>
    </xf>
    <xf numFmtId="4" fontId="40" fillId="2" borderId="17" xfId="11" applyNumberFormat="1" applyFont="1" applyFill="1" applyBorder="1" applyAlignment="1">
      <alignment horizontal="right" vertical="center"/>
    </xf>
    <xf numFmtId="4" fontId="38" fillId="2" borderId="17" xfId="8" applyNumberFormat="1" applyFont="1" applyFill="1" applyBorder="1" applyAlignment="1">
      <alignment horizontal="right" vertical="center"/>
    </xf>
    <xf numFmtId="0" fontId="41" fillId="2" borderId="17" xfId="0" applyFont="1" applyFill="1" applyBorder="1"/>
    <xf numFmtId="0" fontId="41" fillId="2" borderId="34" xfId="0" applyFont="1" applyFill="1" applyBorder="1"/>
    <xf numFmtId="0" fontId="42" fillId="2" borderId="0" xfId="0" applyFont="1" applyFill="1"/>
    <xf numFmtId="4" fontId="21" fillId="2" borderId="17" xfId="11" applyNumberFormat="1" applyFont="1" applyFill="1" applyBorder="1" applyAlignment="1">
      <alignment horizontal="right" vertical="center"/>
    </xf>
    <xf numFmtId="4" fontId="31" fillId="2" borderId="17" xfId="0" applyNumberFormat="1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34" xfId="0" applyFont="1" applyFill="1" applyBorder="1" applyAlignment="1">
      <alignment horizontal="center" vertical="center"/>
    </xf>
    <xf numFmtId="4" fontId="31" fillId="2" borderId="17" xfId="13" applyNumberFormat="1" applyFont="1" applyFill="1" applyBorder="1" applyAlignment="1">
      <alignment horizontal="right" vertical="center"/>
    </xf>
    <xf numFmtId="0" fontId="29" fillId="2" borderId="17" xfId="0" applyFont="1" applyFill="1" applyBorder="1" applyAlignment="1">
      <alignment horizontal="left"/>
    </xf>
    <xf numFmtId="0" fontId="29" fillId="2" borderId="17" xfId="3" applyFont="1" applyFill="1" applyBorder="1" applyAlignment="1">
      <alignment vertical="center"/>
    </xf>
    <xf numFmtId="4" fontId="31" fillId="2" borderId="35" xfId="11" applyNumberFormat="1" applyFont="1" applyFill="1" applyBorder="1" applyAlignment="1">
      <alignment horizontal="right" vertical="center"/>
    </xf>
    <xf numFmtId="0" fontId="44" fillId="2" borderId="17" xfId="7" applyFont="1" applyFill="1" applyBorder="1" applyAlignment="1">
      <alignment horizontal="center" vertical="center"/>
    </xf>
    <xf numFmtId="4" fontId="31" fillId="2" borderId="17" xfId="3" applyNumberFormat="1" applyFont="1" applyFill="1" applyBorder="1" applyAlignment="1">
      <alignment horizontal="right" vertical="center"/>
    </xf>
    <xf numFmtId="0" fontId="30" fillId="2" borderId="33" xfId="15" applyFont="1" applyFill="1" applyBorder="1" applyAlignment="1">
      <alignment horizontal="center" vertical="center"/>
    </xf>
    <xf numFmtId="4" fontId="13" fillId="2" borderId="17" xfId="0" applyNumberFormat="1" applyFont="1" applyFill="1" applyBorder="1"/>
    <xf numFmtId="4" fontId="13" fillId="2" borderId="34" xfId="0" applyNumberFormat="1" applyFont="1" applyFill="1" applyBorder="1"/>
    <xf numFmtId="4" fontId="31" fillId="2" borderId="35" xfId="8" applyNumberFormat="1" applyFont="1" applyFill="1" applyBorder="1" applyAlignment="1">
      <alignment horizontal="right" vertical="center"/>
    </xf>
    <xf numFmtId="4" fontId="30" fillId="2" borderId="17" xfId="0" applyNumberFormat="1" applyFont="1" applyFill="1" applyBorder="1"/>
    <xf numFmtId="0" fontId="30" fillId="2" borderId="33" xfId="0" applyFont="1" applyFill="1" applyBorder="1" applyAlignment="1">
      <alignment horizontal="center" vertical="center"/>
    </xf>
    <xf numFmtId="0" fontId="29" fillId="2" borderId="17" xfId="0" applyFont="1" applyFill="1" applyBorder="1" applyAlignment="1" applyProtection="1">
      <alignment horizontal="left" vertical="center" wrapText="1"/>
    </xf>
    <xf numFmtId="3" fontId="31" fillId="2" borderId="17" xfId="0" applyNumberFormat="1" applyFont="1" applyFill="1" applyBorder="1" applyAlignment="1">
      <alignment horizontal="center" vertical="center"/>
    </xf>
    <xf numFmtId="4" fontId="21" fillId="2" borderId="17" xfId="12" applyNumberFormat="1" applyFont="1" applyFill="1" applyBorder="1" applyAlignment="1">
      <alignment horizontal="right" vertical="center"/>
    </xf>
    <xf numFmtId="0" fontId="30" fillId="2" borderId="17" xfId="0" applyFont="1" applyFill="1" applyBorder="1"/>
    <xf numFmtId="4" fontId="31" fillId="2" borderId="17" xfId="14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9" fillId="2" borderId="17" xfId="16" applyFont="1" applyFill="1" applyBorder="1" applyAlignment="1">
      <alignment vertical="center" wrapText="1"/>
    </xf>
    <xf numFmtId="3" fontId="31" fillId="2" borderId="17" xfId="12" applyNumberFormat="1" applyFont="1" applyFill="1" applyBorder="1" applyAlignment="1">
      <alignment horizontal="center" vertical="center"/>
    </xf>
    <xf numFmtId="4" fontId="31" fillId="2" borderId="17" xfId="17" applyNumberFormat="1" applyFont="1" applyFill="1" applyBorder="1" applyAlignment="1">
      <alignment horizontal="right" vertical="center"/>
    </xf>
    <xf numFmtId="0" fontId="47" fillId="2" borderId="34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wrapText="1"/>
    </xf>
    <xf numFmtId="0" fontId="30" fillId="2" borderId="17" xfId="0" applyFont="1" applyFill="1" applyBorder="1" applyAlignment="1">
      <alignment horizontal="center"/>
    </xf>
    <xf numFmtId="0" fontId="47" fillId="2" borderId="34" xfId="0" applyFont="1" applyFill="1" applyBorder="1" applyAlignment="1">
      <alignment horizontal="center"/>
    </xf>
    <xf numFmtId="0" fontId="29" fillId="2" borderId="17" xfId="0" applyFont="1" applyFill="1" applyBorder="1" applyAlignment="1" applyProtection="1">
      <alignment horizontal="left"/>
    </xf>
    <xf numFmtId="0" fontId="47" fillId="2" borderId="34" xfId="0" applyFont="1" applyFill="1" applyBorder="1"/>
    <xf numFmtId="0" fontId="31" fillId="2" borderId="33" xfId="7" applyFont="1" applyFill="1" applyBorder="1" applyAlignment="1">
      <alignment horizontal="center" vertical="center"/>
    </xf>
    <xf numFmtId="0" fontId="29" fillId="2" borderId="17" xfId="8" applyFont="1" applyFill="1" applyBorder="1" applyAlignment="1">
      <alignment horizontal="left" vertical="center"/>
    </xf>
    <xf numFmtId="4" fontId="31" fillId="2" borderId="35" xfId="3" applyNumberFormat="1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30" fillId="2" borderId="33" xfId="7" applyFont="1" applyFill="1" applyBorder="1" applyAlignment="1">
      <alignment horizontal="center" vertical="center"/>
    </xf>
    <xf numFmtId="3" fontId="31" fillId="2" borderId="17" xfId="0" applyNumberFormat="1" applyFont="1" applyFill="1" applyBorder="1" applyAlignment="1">
      <alignment horizontal="center" vertical="center" wrapText="1"/>
    </xf>
    <xf numFmtId="4" fontId="31" fillId="2" borderId="17" xfId="0" applyNumberFormat="1" applyFont="1" applyFill="1" applyBorder="1" applyAlignment="1">
      <alignment horizontal="right" vertical="center"/>
    </xf>
    <xf numFmtId="0" fontId="28" fillId="2" borderId="38" xfId="7" quotePrefix="1" applyFont="1" applyFill="1" applyBorder="1" applyAlignment="1">
      <alignment horizontal="center" vertical="center"/>
    </xf>
    <xf numFmtId="0" fontId="44" fillId="2" borderId="39" xfId="7" applyFont="1" applyFill="1" applyBorder="1" applyAlignment="1">
      <alignment horizontal="center" vertical="center"/>
    </xf>
    <xf numFmtId="0" fontId="26" fillId="2" borderId="39" xfId="9" applyFont="1" applyFill="1" applyBorder="1" applyAlignment="1">
      <alignment horizontal="left" vertical="center"/>
    </xf>
    <xf numFmtId="0" fontId="45" fillId="2" borderId="39" xfId="1" applyNumberFormat="1" applyFont="1" applyFill="1" applyBorder="1" applyAlignment="1">
      <alignment horizontal="center" vertical="center"/>
    </xf>
    <xf numFmtId="4" fontId="45" fillId="2" borderId="39" xfId="1" applyNumberFormat="1" applyFont="1" applyFill="1" applyBorder="1" applyAlignment="1">
      <alignment horizontal="right" vertical="center"/>
    </xf>
    <xf numFmtId="0" fontId="18" fillId="2" borderId="39" xfId="0" applyFont="1" applyFill="1" applyBorder="1" applyAlignment="1">
      <alignment horizontal="center" vertical="center"/>
    </xf>
    <xf numFmtId="0" fontId="30" fillId="2" borderId="41" xfId="3" applyFont="1" applyFill="1" applyBorder="1" applyAlignment="1">
      <alignment horizontal="center" vertical="center"/>
    </xf>
    <xf numFmtId="0" fontId="29" fillId="2" borderId="17" xfId="18" applyFont="1" applyFill="1" applyBorder="1" applyAlignment="1">
      <alignment horizontal="left" vertical="center" wrapText="1"/>
    </xf>
    <xf numFmtId="0" fontId="29" fillId="2" borderId="17" xfId="0" applyFont="1" applyFill="1" applyBorder="1"/>
    <xf numFmtId="4" fontId="34" fillId="2" borderId="17" xfId="14" applyNumberFormat="1" applyFont="1" applyFill="1" applyBorder="1" applyAlignment="1">
      <alignment horizontal="right" vertical="center"/>
    </xf>
    <xf numFmtId="0" fontId="39" fillId="2" borderId="17" xfId="0" applyFont="1" applyFill="1" applyBorder="1"/>
    <xf numFmtId="3" fontId="38" fillId="2" borderId="17" xfId="12" applyNumberFormat="1" applyFont="1" applyFill="1" applyBorder="1" applyAlignment="1">
      <alignment horizontal="center" vertical="center"/>
    </xf>
    <xf numFmtId="4" fontId="38" fillId="2" borderId="17" xfId="14" applyNumberFormat="1" applyFont="1" applyFill="1" applyBorder="1" applyAlignment="1">
      <alignment horizontal="right" vertical="center"/>
    </xf>
    <xf numFmtId="0" fontId="37" fillId="2" borderId="17" xfId="0" applyFont="1" applyFill="1" applyBorder="1" applyAlignment="1">
      <alignment horizontal="center" vertical="center"/>
    </xf>
    <xf numFmtId="0" fontId="50" fillId="2" borderId="34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left" wrapText="1"/>
    </xf>
    <xf numFmtId="0" fontId="29" fillId="2" borderId="17" xfId="0" applyFont="1" applyFill="1" applyBorder="1" applyAlignment="1">
      <alignment horizontal="left" vertical="center"/>
    </xf>
    <xf numFmtId="3" fontId="31" fillId="2" borderId="17" xfId="12" applyNumberFormat="1" applyFont="1" applyFill="1" applyBorder="1" applyAlignment="1">
      <alignment horizontal="left" vertical="center"/>
    </xf>
    <xf numFmtId="0" fontId="29" fillId="2" borderId="17" xfId="9" applyFont="1" applyFill="1" applyBorder="1" applyAlignment="1">
      <alignment horizontal="left" vertical="center"/>
    </xf>
    <xf numFmtId="0" fontId="31" fillId="2" borderId="17" xfId="3" applyNumberFormat="1" applyFont="1" applyFill="1" applyBorder="1" applyAlignment="1">
      <alignment horizontal="center" vertical="center"/>
    </xf>
    <xf numFmtId="0" fontId="31" fillId="2" borderId="17" xfId="3" applyFont="1" applyFill="1" applyBorder="1" applyAlignment="1">
      <alignment horizontal="center" vertical="center" wrapText="1"/>
    </xf>
    <xf numFmtId="0" fontId="39" fillId="2" borderId="17" xfId="3" quotePrefix="1" applyFont="1" applyFill="1" applyBorder="1" applyAlignment="1">
      <alignment horizontal="left" vertical="center" wrapText="1"/>
    </xf>
    <xf numFmtId="4" fontId="38" fillId="2" borderId="17" xfId="3" applyNumberFormat="1" applyFont="1" applyFill="1" applyBorder="1" applyAlignment="1">
      <alignment horizontal="right" vertical="center"/>
    </xf>
    <xf numFmtId="0" fontId="37" fillId="2" borderId="17" xfId="0" applyFont="1" applyFill="1" applyBorder="1"/>
    <xf numFmtId="0" fontId="51" fillId="2" borderId="34" xfId="0" applyFont="1" applyFill="1" applyBorder="1"/>
    <xf numFmtId="0" fontId="29" fillId="2" borderId="17" xfId="16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3" fontId="31" fillId="2" borderId="17" xfId="15" applyNumberFormat="1" applyFont="1" applyFill="1" applyBorder="1" applyAlignment="1">
      <alignment horizontal="center" vertical="center"/>
    </xf>
    <xf numFmtId="4" fontId="31" fillId="2" borderId="17" xfId="15" applyNumberFormat="1" applyFont="1" applyFill="1" applyBorder="1" applyAlignment="1">
      <alignment horizontal="center" vertical="center"/>
    </xf>
    <xf numFmtId="4" fontId="31" fillId="2" borderId="17" xfId="15" applyNumberFormat="1" applyFont="1" applyFill="1" applyBorder="1" applyAlignment="1">
      <alignment horizontal="right" vertical="center"/>
    </xf>
    <xf numFmtId="4" fontId="31" fillId="2" borderId="17" xfId="0" applyNumberFormat="1" applyFont="1" applyFill="1" applyBorder="1" applyAlignment="1" applyProtection="1">
      <alignment horizontal="center" vertical="center"/>
    </xf>
    <xf numFmtId="164" fontId="30" fillId="2" borderId="17" xfId="0" applyNumberFormat="1" applyFont="1" applyFill="1" applyBorder="1"/>
    <xf numFmtId="164" fontId="13" fillId="2" borderId="34" xfId="0" applyNumberFormat="1" applyFont="1" applyFill="1" applyBorder="1"/>
    <xf numFmtId="2" fontId="21" fillId="2" borderId="34" xfId="0" applyNumberFormat="1" applyFont="1" applyFill="1" applyBorder="1" applyAlignment="1">
      <alignment horizontal="right" vertical="center"/>
    </xf>
    <xf numFmtId="2" fontId="45" fillId="2" borderId="39" xfId="1" applyNumberFormat="1" applyFont="1" applyFill="1" applyBorder="1" applyAlignment="1">
      <alignment horizontal="right" vertical="center"/>
    </xf>
    <xf numFmtId="43" fontId="45" fillId="2" borderId="40" xfId="1" applyFont="1" applyFill="1" applyBorder="1" applyAlignment="1">
      <alignment horizontal="right" vertical="center"/>
    </xf>
    <xf numFmtId="0" fontId="29" fillId="2" borderId="17" xfId="3" applyNumberFormat="1" applyFont="1" applyFill="1" applyBorder="1" applyAlignment="1">
      <alignment vertical="center" wrapText="1"/>
    </xf>
    <xf numFmtId="0" fontId="39" fillId="2" borderId="17" xfId="3" applyFont="1" applyFill="1" applyBorder="1" applyAlignment="1">
      <alignment vertical="center"/>
    </xf>
    <xf numFmtId="0" fontId="51" fillId="2" borderId="34" xfId="0" applyFont="1" applyFill="1" applyBorder="1" applyAlignment="1">
      <alignment horizontal="center" vertical="center"/>
    </xf>
    <xf numFmtId="0" fontId="31" fillId="2" borderId="17" xfId="13" applyFont="1" applyFill="1" applyBorder="1" applyAlignment="1">
      <alignment horizontal="center" vertical="center"/>
    </xf>
    <xf numFmtId="0" fontId="29" fillId="2" borderId="17" xfId="13" applyFont="1" applyFill="1" applyBorder="1" applyAlignment="1">
      <alignment vertical="center"/>
    </xf>
    <xf numFmtId="0" fontId="5" fillId="2" borderId="0" xfId="0" applyFont="1" applyFill="1"/>
    <xf numFmtId="0" fontId="23" fillId="2" borderId="0" xfId="0" applyFont="1" applyFill="1"/>
    <xf numFmtId="0" fontId="5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9" fontId="53" fillId="2" borderId="0" xfId="2" applyFont="1" applyFill="1" applyAlignment="1">
      <alignment vertical="center"/>
    </xf>
    <xf numFmtId="0" fontId="22" fillId="2" borderId="0" xfId="0" applyFont="1" applyFill="1"/>
    <xf numFmtId="9" fontId="27" fillId="0" borderId="0" xfId="2" applyFont="1" applyFill="1" applyAlignment="1">
      <alignment vertical="center"/>
    </xf>
    <xf numFmtId="0" fontId="52" fillId="0" borderId="0" xfId="0" applyFont="1" applyFill="1" applyAlignment="1">
      <alignment vertical="center"/>
    </xf>
    <xf numFmtId="9" fontId="43" fillId="0" borderId="0" xfId="2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9" fontId="10" fillId="0" borderId="0" xfId="2" applyFont="1" applyFill="1" applyAlignment="1">
      <alignment vertical="center"/>
    </xf>
    <xf numFmtId="9" fontId="54" fillId="0" borderId="0" xfId="2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9" fontId="25" fillId="0" borderId="0" xfId="2" applyFont="1" applyFill="1" applyAlignment="1">
      <alignment vertical="center"/>
    </xf>
    <xf numFmtId="0" fontId="25" fillId="2" borderId="0" xfId="3" applyFont="1" applyFill="1" applyAlignment="1">
      <alignment vertical="top" wrapText="1"/>
    </xf>
    <xf numFmtId="0" fontId="0" fillId="0" borderId="0" xfId="0" applyFont="1" applyFill="1"/>
    <xf numFmtId="0" fontId="58" fillId="0" borderId="0" xfId="3" applyFont="1" applyFill="1" applyAlignment="1">
      <alignment vertical="top" wrapText="1"/>
    </xf>
    <xf numFmtId="0" fontId="59" fillId="0" borderId="1" xfId="3" applyFont="1" applyFill="1" applyBorder="1" applyAlignment="1">
      <alignment horizontal="center" vertical="center"/>
    </xf>
    <xf numFmtId="0" fontId="60" fillId="0" borderId="1" xfId="3" applyFont="1" applyFill="1" applyBorder="1" applyAlignment="1">
      <alignment horizontal="center" vertical="center"/>
    </xf>
    <xf numFmtId="0" fontId="60" fillId="0" borderId="0" xfId="3" applyFont="1" applyFill="1" applyBorder="1" applyAlignment="1">
      <alignment horizontal="center" vertical="center"/>
    </xf>
    <xf numFmtId="0" fontId="61" fillId="0" borderId="1" xfId="0" applyFont="1" applyFill="1" applyBorder="1"/>
    <xf numFmtId="4" fontId="60" fillId="0" borderId="1" xfId="3" applyNumberFormat="1" applyFont="1" applyFill="1" applyBorder="1" applyAlignment="1">
      <alignment horizontal="center" vertical="center"/>
    </xf>
    <xf numFmtId="0" fontId="62" fillId="0" borderId="1" xfId="3" applyFont="1" applyFill="1" applyBorder="1" applyAlignment="1">
      <alignment horizontal="center" vertical="center"/>
    </xf>
    <xf numFmtId="0" fontId="66" fillId="0" borderId="15" xfId="4" applyFont="1" applyFill="1" applyBorder="1" applyAlignment="1">
      <alignment horizontal="center" vertical="center"/>
    </xf>
    <xf numFmtId="0" fontId="65" fillId="0" borderId="12" xfId="4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4" fontId="0" fillId="0" borderId="0" xfId="0" applyNumberFormat="1" applyFont="1" applyFill="1"/>
    <xf numFmtId="4" fontId="69" fillId="0" borderId="17" xfId="0" applyNumberFormat="1" applyFont="1" applyFill="1" applyBorder="1" applyAlignment="1">
      <alignment horizontal="right" vertical="center"/>
    </xf>
    <xf numFmtId="0" fontId="75" fillId="0" borderId="41" xfId="3" applyFont="1" applyFill="1" applyBorder="1" applyAlignment="1">
      <alignment horizontal="center" vertical="center"/>
    </xf>
    <xf numFmtId="0" fontId="76" fillId="0" borderId="36" xfId="3" applyFont="1" applyFill="1" applyBorder="1" applyAlignment="1">
      <alignment horizontal="center" vertical="center"/>
    </xf>
    <xf numFmtId="0" fontId="74" fillId="0" borderId="36" xfId="3" applyFont="1" applyFill="1" applyBorder="1" applyAlignment="1">
      <alignment vertical="center" wrapText="1"/>
    </xf>
    <xf numFmtId="3" fontId="76" fillId="0" borderId="36" xfId="3" applyNumberFormat="1" applyFont="1" applyFill="1" applyBorder="1" applyAlignment="1">
      <alignment horizontal="center" vertical="center"/>
    </xf>
    <xf numFmtId="4" fontId="76" fillId="0" borderId="36" xfId="3" applyNumberFormat="1" applyFont="1" applyFill="1" applyBorder="1" applyAlignment="1">
      <alignment horizontal="center" vertical="center"/>
    </xf>
    <xf numFmtId="4" fontId="76" fillId="0" borderId="36" xfId="12" applyNumberFormat="1" applyFont="1" applyFill="1" applyBorder="1" applyAlignment="1">
      <alignment horizontal="right" vertical="center"/>
    </xf>
    <xf numFmtId="4" fontId="76" fillId="0" borderId="36" xfId="11" applyNumberFormat="1" applyFont="1" applyFill="1" applyBorder="1" applyAlignment="1">
      <alignment horizontal="right" vertical="center"/>
    </xf>
    <xf numFmtId="4" fontId="76" fillId="0" borderId="36" xfId="8" applyNumberFormat="1" applyFont="1" applyFill="1" applyBorder="1" applyAlignment="1">
      <alignment horizontal="right" vertical="center"/>
    </xf>
    <xf numFmtId="0" fontId="2" fillId="0" borderId="36" xfId="0" applyFont="1" applyFill="1" applyBorder="1"/>
    <xf numFmtId="0" fontId="2" fillId="0" borderId="42" xfId="0" applyFont="1" applyFill="1" applyBorder="1"/>
    <xf numFmtId="0" fontId="76" fillId="0" borderId="33" xfId="3" applyFont="1" applyFill="1" applyBorder="1" applyAlignment="1">
      <alignment horizontal="center" vertical="center"/>
    </xf>
    <xf numFmtId="0" fontId="76" fillId="0" borderId="17" xfId="3" applyFont="1" applyFill="1" applyBorder="1" applyAlignment="1">
      <alignment horizontal="center" vertical="center"/>
    </xf>
    <xf numFmtId="0" fontId="74" fillId="0" borderId="17" xfId="3" applyFont="1" applyFill="1" applyBorder="1" applyAlignment="1">
      <alignment vertical="center" wrapText="1"/>
    </xf>
    <xf numFmtId="0" fontId="76" fillId="0" borderId="17" xfId="0" applyFont="1" applyFill="1" applyBorder="1" applyAlignment="1">
      <alignment horizontal="center" vertical="center"/>
    </xf>
    <xf numFmtId="16" fontId="76" fillId="0" borderId="17" xfId="3" applyNumberFormat="1" applyFont="1" applyFill="1" applyBorder="1" applyAlignment="1">
      <alignment horizontal="center" vertical="center"/>
    </xf>
    <xf numFmtId="4" fontId="76" fillId="0" borderId="17" xfId="11" applyNumberFormat="1" applyFont="1" applyFill="1" applyBorder="1" applyAlignment="1">
      <alignment horizontal="right" vertical="center"/>
    </xf>
    <xf numFmtId="0" fontId="77" fillId="0" borderId="17" xfId="0" applyFont="1" applyFill="1" applyBorder="1"/>
    <xf numFmtId="0" fontId="2" fillId="0" borderId="34" xfId="0" applyFont="1" applyFill="1" applyBorder="1"/>
    <xf numFmtId="0" fontId="78" fillId="0" borderId="33" xfId="3" applyFont="1" applyFill="1" applyBorder="1" applyAlignment="1">
      <alignment horizontal="center" vertical="center"/>
    </xf>
    <xf numFmtId="0" fontId="78" fillId="0" borderId="17" xfId="3" applyFont="1" applyFill="1" applyBorder="1" applyAlignment="1">
      <alignment horizontal="center" vertical="center"/>
    </xf>
    <xf numFmtId="0" fontId="79" fillId="0" borderId="17" xfId="3" applyFont="1" applyFill="1" applyBorder="1" applyAlignment="1">
      <alignment vertical="center" wrapText="1"/>
    </xf>
    <xf numFmtId="0" fontId="78" fillId="0" borderId="17" xfId="0" applyFont="1" applyFill="1" applyBorder="1" applyAlignment="1">
      <alignment horizontal="center" vertical="center"/>
    </xf>
    <xf numFmtId="4" fontId="78" fillId="0" borderId="17" xfId="3" applyNumberFormat="1" applyFont="1" applyFill="1" applyBorder="1" applyAlignment="1">
      <alignment horizontal="center" vertical="center"/>
    </xf>
    <xf numFmtId="4" fontId="78" fillId="0" borderId="17" xfId="11" applyNumberFormat="1" applyFont="1" applyFill="1" applyBorder="1" applyAlignment="1">
      <alignment horizontal="right" vertical="center"/>
    </xf>
    <xf numFmtId="4" fontId="80" fillId="0" borderId="17" xfId="11" applyNumberFormat="1" applyFont="1" applyFill="1" applyBorder="1" applyAlignment="1">
      <alignment horizontal="right" vertical="center"/>
    </xf>
    <xf numFmtId="4" fontId="78" fillId="0" borderId="17" xfId="8" applyNumberFormat="1" applyFont="1" applyFill="1" applyBorder="1" applyAlignment="1">
      <alignment horizontal="right" vertical="center"/>
    </xf>
    <xf numFmtId="0" fontId="81" fillId="0" borderId="17" xfId="0" applyFont="1" applyFill="1" applyBorder="1"/>
    <xf numFmtId="4" fontId="76" fillId="0" borderId="17" xfId="3" applyNumberFormat="1" applyFont="1" applyFill="1" applyBorder="1" applyAlignment="1">
      <alignment horizontal="center" vertical="center"/>
    </xf>
    <xf numFmtId="4" fontId="76" fillId="0" borderId="35" xfId="11" applyNumberFormat="1" applyFont="1" applyFill="1" applyBorder="1" applyAlignment="1">
      <alignment horizontal="right" vertical="center"/>
    </xf>
    <xf numFmtId="4" fontId="76" fillId="0" borderId="17" xfId="8" applyNumberFormat="1" applyFont="1" applyFill="1" applyBorder="1" applyAlignment="1">
      <alignment horizontal="right" vertical="center"/>
    </xf>
    <xf numFmtId="0" fontId="75" fillId="0" borderId="33" xfId="3" applyFont="1" applyFill="1" applyBorder="1" applyAlignment="1">
      <alignment horizontal="center" vertical="center"/>
    </xf>
    <xf numFmtId="3" fontId="76" fillId="0" borderId="17" xfId="3" applyNumberFormat="1" applyFont="1" applyFill="1" applyBorder="1" applyAlignment="1">
      <alignment horizontal="center" vertical="center"/>
    </xf>
    <xf numFmtId="4" fontId="76" fillId="0" borderId="17" xfId="12" applyNumberFormat="1" applyFont="1" applyFill="1" applyBorder="1" applyAlignment="1">
      <alignment horizontal="right" vertical="center"/>
    </xf>
    <xf numFmtId="4" fontId="75" fillId="0" borderId="17" xfId="0" applyNumberFormat="1" applyFont="1" applyFill="1" applyBorder="1"/>
    <xf numFmtId="4" fontId="2" fillId="0" borderId="34" xfId="0" applyNumberFormat="1" applyFont="1" applyFill="1" applyBorder="1"/>
    <xf numFmtId="0" fontId="74" fillId="0" borderId="17" xfId="3" applyFont="1" applyFill="1" applyBorder="1" applyAlignment="1">
      <alignment horizontal="left" vertical="center"/>
    </xf>
    <xf numFmtId="43" fontId="75" fillId="0" borderId="17" xfId="14" applyNumberFormat="1" applyFont="1" applyFill="1" applyBorder="1"/>
    <xf numFmtId="43" fontId="0" fillId="0" borderId="34" xfId="14" applyNumberFormat="1" applyFont="1" applyFill="1" applyBorder="1"/>
    <xf numFmtId="0" fontId="75" fillId="0" borderId="33" xfId="0" applyFont="1" applyFill="1" applyBorder="1" applyAlignment="1">
      <alignment horizontal="center" vertical="center"/>
    </xf>
    <xf numFmtId="3" fontId="76" fillId="0" borderId="17" xfId="0" applyNumberFormat="1" applyFont="1" applyFill="1" applyBorder="1" applyAlignment="1">
      <alignment horizontal="center" vertical="center"/>
    </xf>
    <xf numFmtId="4" fontId="76" fillId="0" borderId="17" xfId="14" applyNumberFormat="1" applyFont="1" applyFill="1" applyBorder="1" applyAlignment="1">
      <alignment horizontal="right" vertical="center"/>
    </xf>
    <xf numFmtId="0" fontId="75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7" xfId="0" applyFont="1" applyFill="1" applyBorder="1"/>
    <xf numFmtId="0" fontId="75" fillId="0" borderId="41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" fontId="70" fillId="0" borderId="17" xfId="1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 wrapText="1"/>
    </xf>
    <xf numFmtId="4" fontId="70" fillId="0" borderId="36" xfId="11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73" fillId="0" borderId="38" xfId="7" quotePrefix="1" applyFont="1" applyFill="1" applyBorder="1" applyAlignment="1">
      <alignment horizontal="center" vertical="center"/>
    </xf>
    <xf numFmtId="0" fontId="82" fillId="0" borderId="39" xfId="7" applyFont="1" applyFill="1" applyBorder="1" applyAlignment="1">
      <alignment horizontal="center" vertical="center"/>
    </xf>
    <xf numFmtId="0" fontId="72" fillId="0" borderId="39" xfId="9" applyFont="1" applyFill="1" applyBorder="1" applyAlignment="1">
      <alignment horizontal="left" vertical="center"/>
    </xf>
    <xf numFmtId="0" fontId="83" fillId="0" borderId="39" xfId="1" applyNumberFormat="1" applyFont="1" applyFill="1" applyBorder="1" applyAlignment="1">
      <alignment horizontal="center" vertical="center"/>
    </xf>
    <xf numFmtId="4" fontId="83" fillId="0" borderId="39" xfId="1" applyNumberFormat="1" applyFont="1" applyFill="1" applyBorder="1" applyAlignment="1">
      <alignment horizontal="right" vertical="center"/>
    </xf>
    <xf numFmtId="0" fontId="68" fillId="0" borderId="39" xfId="0" applyFont="1" applyFill="1" applyBorder="1" applyAlignment="1">
      <alignment horizontal="center" vertical="center"/>
    </xf>
    <xf numFmtId="4" fontId="76" fillId="0" borderId="35" xfId="3" applyNumberFormat="1" applyFont="1" applyFill="1" applyBorder="1" applyAlignment="1">
      <alignment horizontal="center" vertical="center"/>
    </xf>
    <xf numFmtId="4" fontId="76" fillId="0" borderId="35" xfId="8" applyNumberFormat="1" applyFont="1" applyFill="1" applyBorder="1" applyAlignment="1">
      <alignment horizontal="right" vertical="center"/>
    </xf>
    <xf numFmtId="4" fontId="76" fillId="0" borderId="17" xfId="1" applyNumberFormat="1" applyFont="1" applyFill="1" applyBorder="1" applyAlignment="1">
      <alignment horizontal="right" vertical="center"/>
    </xf>
    <xf numFmtId="0" fontId="69" fillId="0" borderId="17" xfId="0" applyFont="1" applyFill="1" applyBorder="1" applyAlignment="1">
      <alignment horizontal="center" vertical="center"/>
    </xf>
    <xf numFmtId="0" fontId="76" fillId="0" borderId="41" xfId="3" applyFont="1" applyFill="1" applyBorder="1" applyAlignment="1">
      <alignment horizontal="center" vertical="center"/>
    </xf>
    <xf numFmtId="1" fontId="76" fillId="0" borderId="36" xfId="0" applyNumberFormat="1" applyFont="1" applyFill="1" applyBorder="1" applyAlignment="1">
      <alignment horizontal="center" vertical="center"/>
    </xf>
    <xf numFmtId="0" fontId="71" fillId="0" borderId="36" xfId="0" applyFont="1" applyFill="1" applyBorder="1"/>
    <xf numFmtId="0" fontId="76" fillId="0" borderId="36" xfId="0" applyFont="1" applyFill="1" applyBorder="1" applyAlignment="1">
      <alignment vertical="center"/>
    </xf>
    <xf numFmtId="4" fontId="76" fillId="0" borderId="36" xfId="0" applyNumberFormat="1" applyFont="1" applyFill="1" applyBorder="1" applyAlignment="1">
      <alignment vertical="center"/>
    </xf>
    <xf numFmtId="0" fontId="76" fillId="0" borderId="36" xfId="0" applyFont="1" applyFill="1" applyBorder="1"/>
    <xf numFmtId="43" fontId="76" fillId="0" borderId="36" xfId="1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43" fontId="76" fillId="0" borderId="36" xfId="0" applyNumberFormat="1" applyFont="1" applyFill="1" applyBorder="1" applyAlignment="1">
      <alignment vertical="center"/>
    </xf>
    <xf numFmtId="0" fontId="69" fillId="0" borderId="45" xfId="0" applyFont="1" applyFill="1" applyBorder="1" applyAlignment="1">
      <alignment vertical="center"/>
    </xf>
    <xf numFmtId="0" fontId="58" fillId="0" borderId="42" xfId="0" applyFont="1" applyFill="1" applyBorder="1" applyAlignment="1">
      <alignment vertical="center"/>
    </xf>
    <xf numFmtId="2" fontId="83" fillId="0" borderId="43" xfId="1" applyNumberFormat="1" applyFont="1" applyFill="1" applyBorder="1" applyAlignment="1">
      <alignment horizontal="right" vertical="center"/>
    </xf>
    <xf numFmtId="43" fontId="83" fillId="0" borderId="32" xfId="1" applyFont="1" applyFill="1" applyBorder="1" applyAlignment="1">
      <alignment horizontal="right" vertical="center"/>
    </xf>
    <xf numFmtId="0" fontId="59" fillId="0" borderId="0" xfId="0" applyFont="1" applyFill="1"/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58" fillId="0" borderId="0" xfId="0" applyFont="1" applyFill="1" applyAlignment="1">
      <alignment vertical="center"/>
    </xf>
    <xf numFmtId="9" fontId="58" fillId="0" borderId="0" xfId="2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9" fontId="87" fillId="0" borderId="0" xfId="2" applyFont="1" applyFill="1" applyAlignment="1">
      <alignment vertical="center"/>
    </xf>
    <xf numFmtId="0" fontId="88" fillId="0" borderId="0" xfId="0" applyFont="1" applyFill="1" applyAlignment="1">
      <alignment vertical="center"/>
    </xf>
    <xf numFmtId="9" fontId="89" fillId="0" borderId="0" xfId="2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/>
    <xf numFmtId="0" fontId="56" fillId="0" borderId="0" xfId="0" applyFont="1" applyFill="1"/>
    <xf numFmtId="0" fontId="56" fillId="0" borderId="0" xfId="0" applyFont="1" applyFill="1" applyAlignment="1">
      <alignment horizontal="center"/>
    </xf>
    <xf numFmtId="0" fontId="76" fillId="0" borderId="33" xfId="7" applyFont="1" applyFill="1" applyBorder="1" applyAlignment="1">
      <alignment horizontal="center" vertical="center"/>
    </xf>
    <xf numFmtId="0" fontId="74" fillId="0" borderId="17" xfId="8" applyFont="1" applyFill="1" applyBorder="1" applyAlignment="1">
      <alignment horizontal="left" vertical="center" wrapText="1"/>
    </xf>
    <xf numFmtId="0" fontId="76" fillId="0" borderId="17" xfId="1" applyNumberFormat="1" applyFont="1" applyFill="1" applyBorder="1" applyAlignment="1">
      <alignment horizontal="center" vertical="center"/>
    </xf>
    <xf numFmtId="1" fontId="76" fillId="0" borderId="17" xfId="10" applyNumberFormat="1" applyFont="1" applyFill="1" applyBorder="1" applyAlignment="1">
      <alignment horizontal="center" vertical="center"/>
    </xf>
    <xf numFmtId="0" fontId="76" fillId="0" borderId="41" xfId="7" applyFont="1" applyFill="1" applyBorder="1" applyAlignment="1">
      <alignment horizontal="center" vertical="center"/>
    </xf>
    <xf numFmtId="0" fontId="76" fillId="0" borderId="36" xfId="1" applyNumberFormat="1" applyFont="1" applyFill="1" applyBorder="1" applyAlignment="1">
      <alignment horizontal="center" vertical="center"/>
    </xf>
    <xf numFmtId="4" fontId="76" fillId="0" borderId="36" xfId="1" applyNumberFormat="1" applyFont="1" applyFill="1" applyBorder="1" applyAlignment="1">
      <alignment horizontal="right" vertical="center"/>
    </xf>
    <xf numFmtId="4" fontId="69" fillId="0" borderId="36" xfId="0" applyNumberFormat="1" applyFont="1" applyFill="1" applyBorder="1" applyAlignment="1">
      <alignment horizontal="right" vertical="center"/>
    </xf>
    <xf numFmtId="0" fontId="68" fillId="0" borderId="42" xfId="0" applyFont="1" applyFill="1" applyBorder="1" applyAlignment="1">
      <alignment horizontal="center" vertical="center"/>
    </xf>
    <xf numFmtId="0" fontId="75" fillId="0" borderId="38" xfId="7" applyFont="1" applyFill="1" applyBorder="1" applyAlignment="1">
      <alignment horizontal="center" vertical="center"/>
    </xf>
    <xf numFmtId="0" fontId="76" fillId="0" borderId="39" xfId="3" applyFont="1" applyFill="1" applyBorder="1" applyAlignment="1">
      <alignment horizontal="center" vertical="center"/>
    </xf>
    <xf numFmtId="0" fontId="74" fillId="0" borderId="39" xfId="9" applyFont="1" applyFill="1" applyBorder="1" applyAlignment="1">
      <alignment horizontal="left" vertical="center"/>
    </xf>
    <xf numFmtId="3" fontId="76" fillId="0" borderId="39" xfId="12" applyNumberFormat="1" applyFont="1" applyFill="1" applyBorder="1" applyAlignment="1">
      <alignment horizontal="center" vertical="center"/>
    </xf>
    <xf numFmtId="4" fontId="76" fillId="0" borderId="39" xfId="1" applyNumberFormat="1" applyFont="1" applyFill="1" applyBorder="1" applyAlignment="1">
      <alignment horizontal="right" vertical="center"/>
    </xf>
    <xf numFmtId="4" fontId="69" fillId="0" borderId="39" xfId="0" applyNumberFormat="1" applyFont="1" applyFill="1" applyBorder="1" applyAlignment="1">
      <alignment horizontal="right" vertical="center"/>
    </xf>
    <xf numFmtId="4" fontId="76" fillId="0" borderId="39" xfId="11" applyNumberFormat="1" applyFont="1" applyFill="1" applyBorder="1" applyAlignment="1">
      <alignment horizontal="right" vertical="center"/>
    </xf>
    <xf numFmtId="4" fontId="76" fillId="0" borderId="39" xfId="8" applyNumberFormat="1" applyFont="1" applyFill="1" applyBorder="1" applyAlignment="1">
      <alignment horizontal="right" vertical="center"/>
    </xf>
    <xf numFmtId="0" fontId="69" fillId="0" borderId="39" xfId="0" applyFont="1" applyFill="1" applyBorder="1" applyAlignment="1">
      <alignment horizontal="center" vertical="center"/>
    </xf>
    <xf numFmtId="4" fontId="76" fillId="0" borderId="40" xfId="11" applyNumberFormat="1" applyFont="1" applyFill="1" applyBorder="1" applyAlignment="1">
      <alignment horizontal="right" vertical="center"/>
    </xf>
    <xf numFmtId="0" fontId="60" fillId="0" borderId="3" xfId="0" applyFont="1" applyFill="1" applyBorder="1" applyAlignment="1">
      <alignment horizontal="center" vertical="center" wrapText="1"/>
    </xf>
    <xf numFmtId="0" fontId="57" fillId="0" borderId="0" xfId="3" applyFont="1" applyFill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4" fontId="76" fillId="3" borderId="36" xfId="12" applyNumberFormat="1" applyFont="1" applyFill="1" applyBorder="1" applyAlignment="1">
      <alignment horizontal="right" vertical="center"/>
    </xf>
    <xf numFmtId="4" fontId="76" fillId="3" borderId="17" xfId="11" applyNumberFormat="1" applyFont="1" applyFill="1" applyBorder="1" applyAlignment="1">
      <alignment horizontal="right" vertical="center"/>
    </xf>
    <xf numFmtId="4" fontId="78" fillId="3" borderId="17" xfId="11" applyNumberFormat="1" applyFont="1" applyFill="1" applyBorder="1" applyAlignment="1">
      <alignment horizontal="right" vertical="center"/>
    </xf>
    <xf numFmtId="4" fontId="76" fillId="3" borderId="17" xfId="12" applyNumberFormat="1" applyFont="1" applyFill="1" applyBorder="1" applyAlignment="1">
      <alignment horizontal="right" vertical="center"/>
    </xf>
    <xf numFmtId="4" fontId="83" fillId="3" borderId="39" xfId="1" applyNumberFormat="1" applyFont="1" applyFill="1" applyBorder="1" applyAlignment="1">
      <alignment horizontal="right" vertical="center"/>
    </xf>
    <xf numFmtId="4" fontId="76" fillId="3" borderId="17" xfId="1" applyNumberFormat="1" applyFont="1" applyFill="1" applyBorder="1" applyAlignment="1">
      <alignment horizontal="right" vertical="center"/>
    </xf>
    <xf numFmtId="4" fontId="76" fillId="3" borderId="36" xfId="1" applyNumberFormat="1" applyFont="1" applyFill="1" applyBorder="1" applyAlignment="1">
      <alignment horizontal="right" vertical="center"/>
    </xf>
    <xf numFmtId="0" fontId="76" fillId="3" borderId="36" xfId="0" applyFont="1" applyFill="1" applyBorder="1" applyAlignment="1">
      <alignment vertical="center"/>
    </xf>
    <xf numFmtId="4" fontId="80" fillId="3" borderId="17" xfId="11" applyNumberFormat="1" applyFont="1" applyFill="1" applyBorder="1" applyAlignment="1">
      <alignment horizontal="right" vertical="center"/>
    </xf>
    <xf numFmtId="4" fontId="76" fillId="3" borderId="17" xfId="2" applyNumberFormat="1" applyFont="1" applyFill="1" applyBorder="1" applyAlignment="1">
      <alignment horizontal="right" vertical="center"/>
    </xf>
    <xf numFmtId="4" fontId="70" fillId="3" borderId="17" xfId="12" applyNumberFormat="1" applyFont="1" applyFill="1" applyBorder="1" applyAlignment="1">
      <alignment horizontal="right" vertical="center"/>
    </xf>
    <xf numFmtId="4" fontId="70" fillId="3" borderId="36" xfId="12" applyNumberFormat="1" applyFont="1" applyFill="1" applyBorder="1" applyAlignment="1">
      <alignment horizontal="right" vertical="center"/>
    </xf>
    <xf numFmtId="4" fontId="69" fillId="3" borderId="17" xfId="0" applyNumberFormat="1" applyFont="1" applyFill="1" applyBorder="1" applyAlignment="1">
      <alignment horizontal="right" vertical="center"/>
    </xf>
    <xf numFmtId="4" fontId="69" fillId="3" borderId="36" xfId="0" applyNumberFormat="1" applyFont="1" applyFill="1" applyBorder="1" applyAlignment="1">
      <alignment horizontal="right" vertical="center"/>
    </xf>
    <xf numFmtId="0" fontId="69" fillId="3" borderId="36" xfId="0" applyFont="1" applyFill="1" applyBorder="1" applyAlignment="1">
      <alignment vertical="center"/>
    </xf>
    <xf numFmtId="4" fontId="76" fillId="3" borderId="36" xfId="11" applyNumberFormat="1" applyFont="1" applyFill="1" applyBorder="1" applyAlignment="1">
      <alignment horizontal="right" vertical="center"/>
    </xf>
    <xf numFmtId="4" fontId="78" fillId="3" borderId="17" xfId="8" applyNumberFormat="1" applyFont="1" applyFill="1" applyBorder="1" applyAlignment="1">
      <alignment horizontal="right" vertical="center"/>
    </xf>
    <xf numFmtId="4" fontId="31" fillId="3" borderId="17" xfId="1" applyNumberFormat="1" applyFont="1" applyFill="1" applyBorder="1" applyAlignment="1">
      <alignment horizontal="right" vertical="center"/>
    </xf>
    <xf numFmtId="4" fontId="31" fillId="3" borderId="17" xfId="11" applyNumberFormat="1" applyFont="1" applyFill="1" applyBorder="1" applyAlignment="1">
      <alignment horizontal="right" vertical="center"/>
    </xf>
    <xf numFmtId="4" fontId="34" fillId="3" borderId="17" xfId="11" applyNumberFormat="1" applyFont="1" applyFill="1" applyBorder="1" applyAlignment="1">
      <alignment horizontal="right" vertical="center"/>
    </xf>
    <xf numFmtId="4" fontId="38" fillId="3" borderId="17" xfId="11" applyNumberFormat="1" applyFont="1" applyFill="1" applyBorder="1" applyAlignment="1">
      <alignment horizontal="right" vertical="center"/>
    </xf>
    <xf numFmtId="4" fontId="31" fillId="3" borderId="17" xfId="13" applyNumberFormat="1" applyFont="1" applyFill="1" applyBorder="1" applyAlignment="1">
      <alignment horizontal="right" vertical="center"/>
    </xf>
    <xf numFmtId="4" fontId="31" fillId="3" borderId="17" xfId="12" applyNumberFormat="1" applyFont="1" applyFill="1" applyBorder="1" applyAlignment="1">
      <alignment horizontal="right" vertical="center"/>
    </xf>
    <xf numFmtId="4" fontId="21" fillId="3" borderId="17" xfId="12" applyNumberFormat="1" applyFont="1" applyFill="1" applyBorder="1" applyAlignment="1">
      <alignment horizontal="right" vertical="center"/>
    </xf>
    <xf numFmtId="4" fontId="21" fillId="3" borderId="17" xfId="11" applyNumberFormat="1" applyFont="1" applyFill="1" applyBorder="1" applyAlignment="1">
      <alignment horizontal="right" vertical="center"/>
    </xf>
    <xf numFmtId="4" fontId="31" fillId="3" borderId="17" xfId="3" applyNumberFormat="1" applyFont="1" applyFill="1" applyBorder="1" applyAlignment="1">
      <alignment horizontal="right" vertical="center"/>
    </xf>
    <xf numFmtId="4" fontId="31" fillId="3" borderId="17" xfId="14" applyNumberFormat="1" applyFont="1" applyFill="1" applyBorder="1" applyAlignment="1">
      <alignment horizontal="right" vertical="center"/>
    </xf>
    <xf numFmtId="4" fontId="34" fillId="3" borderId="17" xfId="14" applyNumberFormat="1" applyFont="1" applyFill="1" applyBorder="1" applyAlignment="1">
      <alignment horizontal="right" vertical="center"/>
    </xf>
    <xf numFmtId="4" fontId="38" fillId="3" borderId="17" xfId="12" applyNumberFormat="1" applyFont="1" applyFill="1" applyBorder="1" applyAlignment="1">
      <alignment horizontal="right" vertical="center"/>
    </xf>
    <xf numFmtId="4" fontId="31" fillId="3" borderId="17" xfId="0" applyNumberFormat="1" applyFont="1" applyFill="1" applyBorder="1" applyAlignment="1">
      <alignment horizontal="right" vertical="center"/>
    </xf>
    <xf numFmtId="4" fontId="40" fillId="3" borderId="17" xfId="3" applyNumberFormat="1" applyFont="1" applyFill="1" applyBorder="1" applyAlignment="1">
      <alignment horizontal="right" vertical="center"/>
    </xf>
    <xf numFmtId="4" fontId="31" fillId="3" borderId="17" xfId="15" applyNumberFormat="1" applyFont="1" applyFill="1" applyBorder="1" applyAlignment="1">
      <alignment horizontal="right" vertical="center"/>
    </xf>
    <xf numFmtId="4" fontId="21" fillId="3" borderId="17" xfId="3" applyNumberFormat="1" applyFont="1" applyFill="1" applyBorder="1" applyAlignment="1">
      <alignment horizontal="right" vertical="center"/>
    </xf>
    <xf numFmtId="4" fontId="45" fillId="3" borderId="39" xfId="1" applyNumberFormat="1" applyFont="1" applyFill="1" applyBorder="1" applyAlignment="1">
      <alignment horizontal="right" vertical="center"/>
    </xf>
    <xf numFmtId="4" fontId="34" fillId="3" borderId="17" xfId="12" applyNumberFormat="1" applyFont="1" applyFill="1" applyBorder="1" applyAlignment="1">
      <alignment horizontal="right" vertical="center"/>
    </xf>
    <xf numFmtId="0" fontId="23" fillId="3" borderId="0" xfId="0" applyFont="1" applyFill="1"/>
    <xf numFmtId="4" fontId="20" fillId="3" borderId="17" xfId="0" applyNumberFormat="1" applyFont="1" applyFill="1" applyBorder="1" applyAlignment="1">
      <alignment horizontal="right" vertical="center"/>
    </xf>
    <xf numFmtId="4" fontId="40" fillId="3" borderId="17" xfId="11" applyNumberFormat="1" applyFont="1" applyFill="1" applyBorder="1" applyAlignment="1">
      <alignment horizontal="right" vertical="center"/>
    </xf>
    <xf numFmtId="4" fontId="21" fillId="3" borderId="17" xfId="0" applyNumberFormat="1" applyFont="1" applyFill="1" applyBorder="1" applyAlignment="1">
      <alignment horizontal="right" vertical="center"/>
    </xf>
    <xf numFmtId="4" fontId="38" fillId="3" borderId="17" xfId="14" applyNumberFormat="1" applyFont="1" applyFill="1" applyBorder="1" applyAlignment="1">
      <alignment horizontal="right" vertical="center"/>
    </xf>
    <xf numFmtId="4" fontId="21" fillId="3" borderId="17" xfId="13" applyNumberFormat="1" applyFont="1" applyFill="1" applyBorder="1" applyAlignment="1">
      <alignment horizontal="right" vertical="center"/>
    </xf>
    <xf numFmtId="4" fontId="40" fillId="3" borderId="17" xfId="13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9" fontId="25" fillId="3" borderId="0" xfId="2" applyFont="1" applyFill="1" applyAlignment="1">
      <alignment vertical="center"/>
    </xf>
    <xf numFmtId="0" fontId="4" fillId="0" borderId="0" xfId="0" applyFont="1" applyFill="1"/>
    <xf numFmtId="0" fontId="6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" fontId="31" fillId="0" borderId="17" xfId="1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31" fillId="0" borderId="17" xfId="11" applyNumberFormat="1" applyFont="1" applyFill="1" applyBorder="1" applyAlignment="1">
      <alignment horizontal="right" vertical="center"/>
    </xf>
    <xf numFmtId="4" fontId="31" fillId="0" borderId="17" xfId="8" applyNumberFormat="1" applyFont="1" applyFill="1" applyBorder="1" applyAlignment="1">
      <alignment horizontal="right" vertical="center"/>
    </xf>
    <xf numFmtId="4" fontId="31" fillId="0" borderId="17" xfId="3" applyNumberFormat="1" applyFont="1" applyFill="1" applyBorder="1" applyAlignment="1">
      <alignment horizontal="right" vertical="center"/>
    </xf>
    <xf numFmtId="4" fontId="31" fillId="0" borderId="17" xfId="12" applyNumberFormat="1" applyFont="1" applyFill="1" applyBorder="1" applyAlignment="1">
      <alignment horizontal="right" vertical="center"/>
    </xf>
    <xf numFmtId="0" fontId="23" fillId="0" borderId="0" xfId="0" applyFont="1" applyFill="1"/>
    <xf numFmtId="0" fontId="22" fillId="0" borderId="0" xfId="0" applyFont="1" applyFill="1"/>
    <xf numFmtId="0" fontId="31" fillId="2" borderId="36" xfId="3" applyFont="1" applyFill="1" applyBorder="1" applyAlignment="1">
      <alignment horizontal="center" vertical="center"/>
    </xf>
    <xf numFmtId="0" fontId="29" fillId="2" borderId="36" xfId="3" applyFont="1" applyFill="1" applyBorder="1" applyAlignment="1">
      <alignment horizontal="left" vertical="center"/>
    </xf>
    <xf numFmtId="0" fontId="31" fillId="2" borderId="36" xfId="3" applyNumberFormat="1" applyFont="1" applyFill="1" applyBorder="1" applyAlignment="1">
      <alignment horizontal="center" vertical="center"/>
    </xf>
    <xf numFmtId="4" fontId="31" fillId="2" borderId="36" xfId="3" applyNumberFormat="1" applyFont="1" applyFill="1" applyBorder="1" applyAlignment="1">
      <alignment horizontal="center" vertical="center"/>
    </xf>
    <xf numFmtId="4" fontId="31" fillId="2" borderId="36" xfId="12" applyNumberFormat="1" applyFont="1" applyFill="1" applyBorder="1" applyAlignment="1">
      <alignment horizontal="right" vertical="center"/>
    </xf>
    <xf numFmtId="4" fontId="31" fillId="3" borderId="36" xfId="13" applyNumberFormat="1" applyFont="1" applyFill="1" applyBorder="1" applyAlignment="1">
      <alignment horizontal="right" vertical="center"/>
    </xf>
    <xf numFmtId="4" fontId="31" fillId="2" borderId="36" xfId="11" applyNumberFormat="1" applyFont="1" applyFill="1" applyBorder="1" applyAlignment="1">
      <alignment horizontal="right" vertical="center"/>
    </xf>
    <xf numFmtId="4" fontId="21" fillId="3" borderId="36" xfId="13" applyNumberFormat="1" applyFont="1" applyFill="1" applyBorder="1" applyAlignment="1">
      <alignment horizontal="right" vertical="center"/>
    </xf>
    <xf numFmtId="4" fontId="21" fillId="3" borderId="36" xfId="11" applyNumberFormat="1" applyFont="1" applyFill="1" applyBorder="1" applyAlignment="1">
      <alignment horizontal="right" vertical="center"/>
    </xf>
    <xf numFmtId="4" fontId="21" fillId="2" borderId="36" xfId="11" applyNumberFormat="1" applyFont="1" applyFill="1" applyBorder="1" applyAlignment="1">
      <alignment horizontal="right" vertical="center"/>
    </xf>
    <xf numFmtId="4" fontId="31" fillId="2" borderId="36" xfId="8" applyNumberFormat="1" applyFont="1" applyFill="1" applyBorder="1" applyAlignment="1">
      <alignment horizontal="right" vertical="center"/>
    </xf>
    <xf numFmtId="4" fontId="31" fillId="3" borderId="36" xfId="11" applyNumberFormat="1" applyFont="1" applyFill="1" applyBorder="1" applyAlignment="1">
      <alignment horizontal="right" vertical="center"/>
    </xf>
    <xf numFmtId="0" fontId="30" fillId="2" borderId="36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43" fontId="23" fillId="0" borderId="46" xfId="1" applyFont="1" applyFill="1" applyBorder="1"/>
    <xf numFmtId="0" fontId="91" fillId="2" borderId="46" xfId="0" applyFont="1" applyFill="1" applyBorder="1"/>
    <xf numFmtId="0" fontId="49" fillId="2" borderId="46" xfId="0" applyFont="1" applyFill="1" applyBorder="1"/>
    <xf numFmtId="43" fontId="49" fillId="0" borderId="46" xfId="1" applyFont="1" applyFill="1" applyBorder="1"/>
    <xf numFmtId="0" fontId="74" fillId="0" borderId="36" xfId="3" applyFont="1" applyFill="1" applyBorder="1" applyAlignment="1">
      <alignment vertical="center"/>
    </xf>
    <xf numFmtId="0" fontId="76" fillId="0" borderId="36" xfId="3" applyNumberFormat="1" applyFont="1" applyFill="1" applyBorder="1" applyAlignment="1">
      <alignment horizontal="center" vertical="center"/>
    </xf>
    <xf numFmtId="4" fontId="76" fillId="0" borderId="36" xfId="14" applyNumberFormat="1" applyFont="1" applyFill="1" applyBorder="1" applyAlignment="1">
      <alignment horizontal="right" vertical="center"/>
    </xf>
    <xf numFmtId="4" fontId="76" fillId="3" borderId="36" xfId="13" applyNumberFormat="1" applyFont="1" applyFill="1" applyBorder="1" applyAlignment="1">
      <alignment horizontal="right" vertical="center"/>
    </xf>
    <xf numFmtId="0" fontId="75" fillId="0" borderId="45" xfId="0" applyFont="1" applyFill="1" applyBorder="1"/>
    <xf numFmtId="0" fontId="71" fillId="0" borderId="46" xfId="0" applyFont="1" applyFill="1" applyBorder="1"/>
    <xf numFmtId="0" fontId="71" fillId="0" borderId="46" xfId="0" applyFont="1" applyFill="1" applyBorder="1" applyAlignment="1">
      <alignment horizontal="center"/>
    </xf>
    <xf numFmtId="43" fontId="86" fillId="0" borderId="46" xfId="1" applyFont="1" applyFill="1" applyBorder="1"/>
    <xf numFmtId="0" fontId="86" fillId="0" borderId="46" xfId="0" applyFont="1" applyFill="1" applyBorder="1" applyAlignment="1"/>
    <xf numFmtId="0" fontId="58" fillId="0" borderId="46" xfId="0" applyFont="1" applyFill="1" applyBorder="1" applyAlignment="1">
      <alignment vertical="center"/>
    </xf>
    <xf numFmtId="0" fontId="18" fillId="4" borderId="30" xfId="0" applyFont="1" applyFill="1" applyBorder="1" applyAlignment="1">
      <alignment horizontal="center" vertical="center"/>
    </xf>
    <xf numFmtId="4" fontId="31" fillId="4" borderId="17" xfId="1" applyNumberFormat="1" applyFont="1" applyFill="1" applyBorder="1" applyAlignment="1">
      <alignment horizontal="right" vertical="center"/>
    </xf>
    <xf numFmtId="4" fontId="31" fillId="4" borderId="17" xfId="11" applyNumberFormat="1" applyFont="1" applyFill="1" applyBorder="1" applyAlignment="1">
      <alignment horizontal="right" vertical="center"/>
    </xf>
    <xf numFmtId="43" fontId="49" fillId="4" borderId="46" xfId="1" applyFont="1" applyFill="1" applyBorder="1"/>
    <xf numFmtId="0" fontId="25" fillId="4" borderId="0" xfId="0" applyFont="1" applyFill="1" applyAlignment="1">
      <alignment vertical="center"/>
    </xf>
    <xf numFmtId="0" fontId="68" fillId="4" borderId="30" xfId="0" applyFont="1" applyFill="1" applyBorder="1" applyAlignment="1">
      <alignment horizontal="center" vertical="center"/>
    </xf>
    <xf numFmtId="4" fontId="76" fillId="4" borderId="36" xfId="11" applyNumberFormat="1" applyFont="1" applyFill="1" applyBorder="1" applyAlignment="1">
      <alignment horizontal="right" vertical="center"/>
    </xf>
    <xf numFmtId="4" fontId="76" fillId="4" borderId="17" xfId="11" applyNumberFormat="1" applyFont="1" applyFill="1" applyBorder="1" applyAlignment="1">
      <alignment horizontal="right" vertical="center"/>
    </xf>
    <xf numFmtId="4" fontId="76" fillId="4" borderId="39" xfId="1" applyNumberFormat="1" applyFont="1" applyFill="1" applyBorder="1" applyAlignment="1">
      <alignment horizontal="right" vertical="center"/>
    </xf>
    <xf numFmtId="43" fontId="86" fillId="4" borderId="46" xfId="1" applyFont="1" applyFill="1" applyBorder="1"/>
    <xf numFmtId="43" fontId="0" fillId="4" borderId="0" xfId="0" applyNumberFormat="1" applyFont="1" applyFill="1" applyAlignment="1">
      <alignment vertical="center" wrapText="1"/>
    </xf>
    <xf numFmtId="0" fontId="58" fillId="0" borderId="0" xfId="3" applyFont="1" applyFill="1" applyAlignment="1">
      <alignment horizontal="center" vertical="top" wrapText="1"/>
    </xf>
    <xf numFmtId="0" fontId="60" fillId="0" borderId="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43" fontId="60" fillId="0" borderId="10" xfId="6" applyNumberFormat="1" applyFont="1" applyFill="1" applyBorder="1" applyAlignment="1">
      <alignment horizontal="center" vertical="center"/>
    </xf>
    <xf numFmtId="43" fontId="60" fillId="0" borderId="13" xfId="6" applyNumberFormat="1" applyFont="1" applyFill="1" applyBorder="1" applyAlignment="1">
      <alignment horizontal="center" vertical="center"/>
    </xf>
    <xf numFmtId="43" fontId="60" fillId="0" borderId="22" xfId="6" applyNumberFormat="1" applyFont="1" applyFill="1" applyBorder="1" applyAlignment="1">
      <alignment horizontal="center" vertical="center"/>
    </xf>
    <xf numFmtId="43" fontId="60" fillId="0" borderId="27" xfId="6" applyNumberFormat="1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57" fillId="0" borderId="0" xfId="3" applyFont="1" applyFill="1" applyAlignment="1">
      <alignment horizontal="center" vertical="top" wrapText="1"/>
    </xf>
    <xf numFmtId="0" fontId="63" fillId="0" borderId="0" xfId="0" applyFont="1" applyFill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43" fontId="60" fillId="0" borderId="3" xfId="5" applyNumberFormat="1" applyFont="1" applyFill="1" applyBorder="1" applyAlignment="1">
      <alignment horizontal="center" vertical="center" wrapText="1"/>
    </xf>
    <xf numFmtId="43" fontId="60" fillId="0" borderId="10" xfId="5" applyNumberFormat="1" applyFont="1" applyFill="1" applyBorder="1" applyAlignment="1">
      <alignment horizontal="center" vertical="center" wrapText="1"/>
    </xf>
    <xf numFmtId="43" fontId="60" fillId="0" borderId="8" xfId="5" applyNumberFormat="1" applyFont="1" applyFill="1" applyBorder="1" applyAlignment="1">
      <alignment horizontal="center" vertical="center" wrapText="1"/>
    </xf>
    <xf numFmtId="43" fontId="60" fillId="0" borderId="22" xfId="5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8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20" xfId="0" applyNumberFormat="1" applyFont="1" applyFill="1" applyBorder="1" applyAlignment="1">
      <alignment horizontal="center" vertical="center" wrapText="1"/>
    </xf>
    <xf numFmtId="0" fontId="25" fillId="0" borderId="0" xfId="3" applyFont="1" applyFill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3" fontId="6" fillId="2" borderId="10" xfId="6" applyNumberFormat="1" applyFont="1" applyFill="1" applyBorder="1" applyAlignment="1">
      <alignment horizontal="center" vertical="center"/>
    </xf>
    <xf numFmtId="43" fontId="6" fillId="2" borderId="13" xfId="6" applyNumberFormat="1" applyFont="1" applyFill="1" applyBorder="1" applyAlignment="1">
      <alignment horizontal="center" vertical="center"/>
    </xf>
    <xf numFmtId="43" fontId="6" fillId="2" borderId="22" xfId="6" applyNumberFormat="1" applyFont="1" applyFill="1" applyBorder="1" applyAlignment="1">
      <alignment horizontal="center" vertical="center"/>
    </xf>
    <xf numFmtId="43" fontId="6" fillId="2" borderId="27" xfId="6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3" fontId="6" fillId="2" borderId="3" xfId="5" applyNumberFormat="1" applyFont="1" applyFill="1" applyBorder="1" applyAlignment="1">
      <alignment horizontal="center" vertical="center" wrapText="1"/>
    </xf>
    <xf numFmtId="43" fontId="6" fillId="2" borderId="10" xfId="5" applyNumberFormat="1" applyFont="1" applyFill="1" applyBorder="1" applyAlignment="1">
      <alignment horizontal="center" vertical="center" wrapText="1"/>
    </xf>
    <xf numFmtId="43" fontId="6" fillId="2" borderId="8" xfId="5" applyNumberFormat="1" applyFont="1" applyFill="1" applyBorder="1" applyAlignment="1">
      <alignment horizontal="center" vertical="center" wrapText="1"/>
    </xf>
    <xf numFmtId="43" fontId="6" fillId="2" borderId="22" xfId="5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/>
    </xf>
    <xf numFmtId="0" fontId="65" fillId="0" borderId="5" xfId="4" applyFont="1" applyFill="1" applyBorder="1" applyAlignment="1">
      <alignment horizontal="center" vertical="center"/>
    </xf>
    <xf numFmtId="0" fontId="65" fillId="0" borderId="11" xfId="4" applyFont="1" applyFill="1" applyBorder="1" applyAlignment="1">
      <alignment horizontal="center" vertical="center"/>
    </xf>
    <xf numFmtId="0" fontId="65" fillId="0" borderId="14" xfId="4" applyFont="1" applyFill="1" applyBorder="1" applyAlignment="1">
      <alignment horizontal="center" vertical="center"/>
    </xf>
    <xf numFmtId="0" fontId="60" fillId="0" borderId="3" xfId="4" applyFont="1" applyFill="1" applyBorder="1" applyAlignment="1">
      <alignment horizontal="center" vertical="center"/>
    </xf>
    <xf numFmtId="0" fontId="60" fillId="0" borderId="4" xfId="4" applyFont="1" applyFill="1" applyBorder="1" applyAlignment="1">
      <alignment horizontal="center" vertical="center"/>
    </xf>
    <xf numFmtId="0" fontId="60" fillId="0" borderId="10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horizontal="center" vertical="center"/>
    </xf>
    <xf numFmtId="0" fontId="60" fillId="0" borderId="23" xfId="4" applyFont="1" applyFill="1" applyBorder="1" applyAlignment="1">
      <alignment horizontal="center" vertical="center"/>
    </xf>
    <xf numFmtId="0" fontId="60" fillId="0" borderId="24" xfId="4" applyFont="1" applyFill="1" applyBorder="1" applyAlignment="1">
      <alignment horizontal="center" vertical="center"/>
    </xf>
    <xf numFmtId="0" fontId="58" fillId="3" borderId="0" xfId="3" applyFont="1" applyFill="1" applyAlignment="1">
      <alignment horizontal="center" vertical="top" wrapText="1"/>
    </xf>
    <xf numFmtId="0" fontId="59" fillId="4" borderId="21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59" fillId="4" borderId="15" xfId="0" applyFont="1" applyFill="1" applyBorder="1" applyAlignment="1">
      <alignment horizontal="center" vertical="center"/>
    </xf>
    <xf numFmtId="0" fontId="91" fillId="2" borderId="47" xfId="0" applyFont="1" applyFill="1" applyBorder="1" applyAlignment="1">
      <alignment horizontal="center"/>
    </xf>
    <xf numFmtId="0" fontId="91" fillId="2" borderId="48" xfId="0" applyFont="1" applyFill="1" applyBorder="1" applyAlignment="1">
      <alignment horizontal="center"/>
    </xf>
    <xf numFmtId="0" fontId="91" fillId="2" borderId="49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</cellXfs>
  <cellStyles count="20">
    <cellStyle name="Comma" xfId="1" builtinId="3"/>
    <cellStyle name="Comma [0] 2" xfId="11"/>
    <cellStyle name="Comma 14" xfId="12"/>
    <cellStyle name="Comma 2" xfId="19"/>
    <cellStyle name="Comma 7" xfId="14"/>
    <cellStyle name="Comma 7 2" xfId="17"/>
    <cellStyle name="Normal" xfId="0" builtinId="0"/>
    <cellStyle name="Normal 17" xfId="3"/>
    <cellStyle name="Normal 17 2" xfId="16"/>
    <cellStyle name="Normal 2 2" xfId="15"/>
    <cellStyle name="Normal 3 2" xfId="5"/>
    <cellStyle name="Normal 7" xfId="13"/>
    <cellStyle name="Normal 8" xfId="7"/>
    <cellStyle name="Normal 9" xfId="6"/>
    <cellStyle name="Normal_07-08" xfId="4"/>
    <cellStyle name="Normal_Book2" xfId="9"/>
    <cellStyle name="Normal_PIP 2008-2009 of Line ministries 2_pip ok 8.6.2010 (original)" xfId="8"/>
    <cellStyle name="Normal_PLAN 2008 09 for PMO" xfId="18"/>
    <cellStyle name="Normal_plan of other sector 08-09 2.7.2008 3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3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4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3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5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6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7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69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2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3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4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5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7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1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5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6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8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2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5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7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8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09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0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1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2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3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4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6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7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0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1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2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3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4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5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3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0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1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2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3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4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5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6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7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8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49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0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1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2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3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7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8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59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0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1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2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6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0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1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3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6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7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8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89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0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1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2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3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4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5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6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7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8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199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0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6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7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8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09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0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1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4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0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1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3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6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7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8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29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0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1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2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3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4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5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6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7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8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39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0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1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5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6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7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49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0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1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4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8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69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1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4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5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6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7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8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79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0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1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2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3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5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6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7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8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89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3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4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5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6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7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8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299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8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09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1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2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3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4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5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6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7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8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19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0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1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4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5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6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4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5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5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7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8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0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1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3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4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5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6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7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8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59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0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1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2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3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4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5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69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0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1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2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3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4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5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8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5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7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8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0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1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2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3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4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5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6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7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8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399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0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1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3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4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5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6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09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0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1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2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3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4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8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2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3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5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6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8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39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0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1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2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3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5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6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7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8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49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0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1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2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3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4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59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0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1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2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6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2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3" name="Text Box 1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5" name="Text Box 1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8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79" name="Text Box 1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0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5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6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7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8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89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0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1" name="Text Box 2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2" name="Text Box 3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3" name="Text Box 3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4" name="Text Box 3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7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8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499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1" name="Text Box 2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2" name="Text Box 2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6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09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3" name="Text Box 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4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7" name="Text Box 1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8" name="Text Box 1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0" name="Text Box 1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1" name="Text Box 18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2" name="Text Box 19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3" name="Text Box 20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4" name="Text Box 21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5" name="Text Box 22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6" name="Text Box 24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7" name="Text Box 23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8" name="Text Box 25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32</xdr:row>
      <xdr:rowOff>57150</xdr:rowOff>
    </xdr:to>
    <xdr:sp macro="" textlink="">
      <xdr:nvSpPr>
        <xdr:cNvPr id="529" name="Text Box 26"/>
        <xdr:cNvSpPr txBox="1">
          <a:spLocks noChangeArrowheads="1"/>
        </xdr:cNvSpPr>
      </xdr:nvSpPr>
      <xdr:spPr bwMode="auto">
        <a:xfrm>
          <a:off x="2809875" y="2875597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5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6" name="Text Box 1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8" name="Text Box 1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3" name="Text Box 1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4" name="Text Box 1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5" name="Text Box 2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6" name="Text Box 2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7" name="Text Box 2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8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49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0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1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2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3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4" name="Text Box 2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5" name="Text Box 3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6" name="Text Box 3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0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1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2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3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4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5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69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2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6" name="Text Box 1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8" name="Text Box 1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79" name="Text Box 1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1" name="Text Box 1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2" name="Text Box 1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3" name="Text Box 1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4" name="Text Box 1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5" name="Text Box 2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6" name="Text Box 2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7" name="Text Box 2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8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89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0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1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2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3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4" name="Text Box 2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5" name="Text Box 3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6" name="Text Box 3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0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1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2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3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4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5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0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4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5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1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3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4" name="Text Box 1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5" name="Text Box 1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6" name="Text Box 1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7" name="Text Box 1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29" name="Text Box 1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0" name="Text Box 1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3" name="Text Box 2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4" name="Text Box 2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5" name="Text Box 2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6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7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8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39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0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1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2" name="Text Box 2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3" name="Text Box 3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4" name="Text Box 3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5" name="Text Box 3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8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49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0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1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2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3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6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7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4" name="Text Box 1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5" name="Text Box 1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6" name="Text Box 1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7" name="Text Box 1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69" name="Text Box 1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0" name="Text Box 1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1" name="Text Box 1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3" name="Text Box 2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4" name="Text Box 2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5" name="Text Box 2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6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7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8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79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0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1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2" name="Text Box 2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3" name="Text Box 3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4" name="Text Box 31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5" name="Text Box 32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8" name="Text Box 23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89" name="Text Box 24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0" name="Text Box 25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1" name="Text Box 2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2" name="Text Box 2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3" name="Text Box 2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7" name="Text Box 10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8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703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57150</xdr:rowOff>
    </xdr:to>
    <xdr:sp macro="" textlink="">
      <xdr:nvSpPr>
        <xdr:cNvPr id="705" name="Text Box 7"/>
        <xdr:cNvSpPr txBox="1">
          <a:spLocks noChangeArrowheads="1"/>
        </xdr:cNvSpPr>
      </xdr:nvSpPr>
      <xdr:spPr bwMode="auto">
        <a:xfrm>
          <a:off x="2809875" y="3888105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0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0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2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6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8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4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6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8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2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8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2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4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6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8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1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4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6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8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0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3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4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5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7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8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1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3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4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0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69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0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2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3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4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5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6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7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7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4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8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2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8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399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0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2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3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4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5" name="Text Box 10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6" name="Text Box 7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7" name="Text Box 8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95250</xdr:colOff>
      <xdr:row>40</xdr:row>
      <xdr:rowOff>352425</xdr:rowOff>
    </xdr:to>
    <xdr:sp macro="" textlink="">
      <xdr:nvSpPr>
        <xdr:cNvPr id="1408" name="Text Box 9"/>
        <xdr:cNvSpPr txBox="1">
          <a:spLocks noChangeArrowheads="1"/>
        </xdr:cNvSpPr>
      </xdr:nvSpPr>
      <xdr:spPr bwMode="auto">
        <a:xfrm>
          <a:off x="2809875" y="35556825"/>
          <a:ext cx="95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2:AK48"/>
  <sheetViews>
    <sheetView tabSelected="1" topLeftCell="AD1" zoomScale="70" zoomScaleNormal="70" workbookViewId="0">
      <selection activeCell="AL40" sqref="AL40"/>
    </sheetView>
  </sheetViews>
  <sheetFormatPr defaultColWidth="9" defaultRowHeight="15"/>
  <cols>
    <col min="1" max="1" width="4.7109375" style="167" customWidth="1"/>
    <col min="2" max="2" width="10.140625" style="167" customWidth="1"/>
    <col min="3" max="3" width="16" style="167" customWidth="1"/>
    <col min="4" max="4" width="13.28515625" style="167" customWidth="1"/>
    <col min="5" max="5" width="87.7109375" style="167" customWidth="1"/>
    <col min="6" max="6" width="9.140625" style="167" customWidth="1"/>
    <col min="7" max="7" width="7.5703125" style="167" hidden="1" customWidth="1"/>
    <col min="8" max="8" width="9.140625" style="266" customWidth="1"/>
    <col min="9" max="9" width="9" style="266" customWidth="1"/>
    <col min="10" max="10" width="13.7109375" style="167" customWidth="1"/>
    <col min="11" max="11" width="15.140625" style="167" bestFit="1" customWidth="1"/>
    <col min="12" max="12" width="13.7109375" style="167" customWidth="1"/>
    <col min="13" max="13" width="7.28515625" style="167" hidden="1" customWidth="1"/>
    <col min="14" max="14" width="13.42578125" style="167" customWidth="1"/>
    <col min="15" max="15" width="12.5703125" style="167" customWidth="1"/>
    <col min="16" max="16" width="13.28515625" style="167" customWidth="1"/>
    <col min="17" max="17" width="11.28515625" style="167" bestFit="1" customWidth="1"/>
    <col min="18" max="18" width="11.5703125" style="167" bestFit="1" customWidth="1"/>
    <col min="19" max="19" width="11.85546875" style="167" customWidth="1"/>
    <col min="20" max="20" width="11.28515625" style="167" bestFit="1" customWidth="1"/>
    <col min="21" max="21" width="14" style="167" hidden="1" customWidth="1"/>
    <col min="22" max="22" width="12" style="167" hidden="1" customWidth="1"/>
    <col min="23" max="23" width="14" style="167" hidden="1" customWidth="1"/>
    <col min="24" max="24" width="12.5703125" style="167" hidden="1" customWidth="1"/>
    <col min="25" max="25" width="10.140625" style="167" hidden="1" customWidth="1"/>
    <col min="26" max="26" width="12.42578125" style="167" hidden="1" customWidth="1"/>
    <col min="27" max="27" width="9.42578125" style="167" hidden="1" customWidth="1"/>
    <col min="28" max="28" width="11.28515625" style="167" customWidth="1"/>
    <col min="29" max="29" width="10.42578125" style="167" customWidth="1"/>
    <col min="30" max="30" width="10.7109375" style="167" customWidth="1"/>
    <col min="31" max="31" width="12.7109375" style="167" customWidth="1"/>
    <col min="32" max="32" width="12.85546875" style="167" bestFit="1" customWidth="1"/>
    <col min="33" max="33" width="1" style="167" hidden="1" customWidth="1"/>
    <col min="34" max="34" width="8" style="167" customWidth="1"/>
    <col min="35" max="35" width="7.28515625" style="167" customWidth="1"/>
    <col min="36" max="36" width="18.7109375" style="167" customWidth="1"/>
    <col min="37" max="37" width="14.140625" style="167" customWidth="1"/>
    <col min="38" max="38" width="11.7109375" style="167" bestFit="1" customWidth="1"/>
    <col min="39" max="39" width="10.140625" style="167" bestFit="1" customWidth="1"/>
    <col min="40" max="256" width="9" style="167"/>
    <col min="257" max="257" width="4.7109375" style="167" customWidth="1"/>
    <col min="258" max="258" width="8.140625" style="167" customWidth="1"/>
    <col min="259" max="259" width="16" style="167" customWidth="1"/>
    <col min="260" max="260" width="13.28515625" style="167" customWidth="1"/>
    <col min="261" max="261" width="87.7109375" style="167" customWidth="1"/>
    <col min="262" max="262" width="8.28515625" style="167" customWidth="1"/>
    <col min="263" max="263" width="0" style="167" hidden="1" customWidth="1"/>
    <col min="264" max="264" width="11.5703125" style="167" customWidth="1"/>
    <col min="265" max="265" width="11.42578125" style="167" customWidth="1"/>
    <col min="266" max="266" width="14.5703125" style="167" customWidth="1"/>
    <col min="267" max="267" width="13.5703125" style="167" customWidth="1"/>
    <col min="268" max="268" width="14.85546875" style="167" customWidth="1"/>
    <col min="269" max="269" width="0" style="167" hidden="1" customWidth="1"/>
    <col min="270" max="270" width="14.5703125" style="167" customWidth="1"/>
    <col min="271" max="271" width="12.140625" style="167" customWidth="1"/>
    <col min="272" max="272" width="13.85546875" style="167" customWidth="1"/>
    <col min="273" max="273" width="15.28515625" style="167" customWidth="1"/>
    <col min="274" max="274" width="11.7109375" style="167" customWidth="1"/>
    <col min="275" max="275" width="8.85546875" style="167" customWidth="1"/>
    <col min="276" max="276" width="12" style="167" customWidth="1"/>
    <col min="277" max="282" width="0" style="167" hidden="1" customWidth="1"/>
    <col min="283" max="283" width="9.42578125" style="167" customWidth="1"/>
    <col min="284" max="284" width="12.140625" style="167" customWidth="1"/>
    <col min="285" max="285" width="11.42578125" style="167" customWidth="1"/>
    <col min="286" max="286" width="11.28515625" style="167" bestFit="1" customWidth="1"/>
    <col min="287" max="287" width="10.85546875" style="167" customWidth="1"/>
    <col min="288" max="288" width="11.5703125" style="167" customWidth="1"/>
    <col min="289" max="289" width="0" style="167" hidden="1" customWidth="1"/>
    <col min="290" max="290" width="8" style="167" customWidth="1"/>
    <col min="291" max="291" width="7.28515625" style="167" customWidth="1"/>
    <col min="292" max="292" width="18.7109375" style="167" customWidth="1"/>
    <col min="293" max="293" width="14.140625" style="167" customWidth="1"/>
    <col min="294" max="294" width="11.7109375" style="167" bestFit="1" customWidth="1"/>
    <col min="295" max="295" width="10.140625" style="167" bestFit="1" customWidth="1"/>
    <col min="296" max="512" width="9" style="167"/>
    <col min="513" max="513" width="4.7109375" style="167" customWidth="1"/>
    <col min="514" max="514" width="8.140625" style="167" customWidth="1"/>
    <col min="515" max="515" width="16" style="167" customWidth="1"/>
    <col min="516" max="516" width="13.28515625" style="167" customWidth="1"/>
    <col min="517" max="517" width="87.7109375" style="167" customWidth="1"/>
    <col min="518" max="518" width="8.28515625" style="167" customWidth="1"/>
    <col min="519" max="519" width="0" style="167" hidden="1" customWidth="1"/>
    <col min="520" max="520" width="11.5703125" style="167" customWidth="1"/>
    <col min="521" max="521" width="11.42578125" style="167" customWidth="1"/>
    <col min="522" max="522" width="14.5703125" style="167" customWidth="1"/>
    <col min="523" max="523" width="13.5703125" style="167" customWidth="1"/>
    <col min="524" max="524" width="14.85546875" style="167" customWidth="1"/>
    <col min="525" max="525" width="0" style="167" hidden="1" customWidth="1"/>
    <col min="526" max="526" width="14.5703125" style="167" customWidth="1"/>
    <col min="527" max="527" width="12.140625" style="167" customWidth="1"/>
    <col min="528" max="528" width="13.85546875" style="167" customWidth="1"/>
    <col min="529" max="529" width="15.28515625" style="167" customWidth="1"/>
    <col min="530" max="530" width="11.7109375" style="167" customWidth="1"/>
    <col min="531" max="531" width="8.85546875" style="167" customWidth="1"/>
    <col min="532" max="532" width="12" style="167" customWidth="1"/>
    <col min="533" max="538" width="0" style="167" hidden="1" customWidth="1"/>
    <col min="539" max="539" width="9.42578125" style="167" customWidth="1"/>
    <col min="540" max="540" width="12.140625" style="167" customWidth="1"/>
    <col min="541" max="541" width="11.42578125" style="167" customWidth="1"/>
    <col min="542" max="542" width="11.28515625" style="167" bestFit="1" customWidth="1"/>
    <col min="543" max="543" width="10.85546875" style="167" customWidth="1"/>
    <col min="544" max="544" width="11.5703125" style="167" customWidth="1"/>
    <col min="545" max="545" width="0" style="167" hidden="1" customWidth="1"/>
    <col min="546" max="546" width="8" style="167" customWidth="1"/>
    <col min="547" max="547" width="7.28515625" style="167" customWidth="1"/>
    <col min="548" max="548" width="18.7109375" style="167" customWidth="1"/>
    <col min="549" max="549" width="14.140625" style="167" customWidth="1"/>
    <col min="550" max="550" width="11.7109375" style="167" bestFit="1" customWidth="1"/>
    <col min="551" max="551" width="10.140625" style="167" bestFit="1" customWidth="1"/>
    <col min="552" max="768" width="9" style="167"/>
    <col min="769" max="769" width="4.7109375" style="167" customWidth="1"/>
    <col min="770" max="770" width="8.140625" style="167" customWidth="1"/>
    <col min="771" max="771" width="16" style="167" customWidth="1"/>
    <col min="772" max="772" width="13.28515625" style="167" customWidth="1"/>
    <col min="773" max="773" width="87.7109375" style="167" customWidth="1"/>
    <col min="774" max="774" width="8.28515625" style="167" customWidth="1"/>
    <col min="775" max="775" width="0" style="167" hidden="1" customWidth="1"/>
    <col min="776" max="776" width="11.5703125" style="167" customWidth="1"/>
    <col min="777" max="777" width="11.42578125" style="167" customWidth="1"/>
    <col min="778" max="778" width="14.5703125" style="167" customWidth="1"/>
    <col min="779" max="779" width="13.5703125" style="167" customWidth="1"/>
    <col min="780" max="780" width="14.85546875" style="167" customWidth="1"/>
    <col min="781" max="781" width="0" style="167" hidden="1" customWidth="1"/>
    <col min="782" max="782" width="14.5703125" style="167" customWidth="1"/>
    <col min="783" max="783" width="12.140625" style="167" customWidth="1"/>
    <col min="784" max="784" width="13.85546875" style="167" customWidth="1"/>
    <col min="785" max="785" width="15.28515625" style="167" customWidth="1"/>
    <col min="786" max="786" width="11.7109375" style="167" customWidth="1"/>
    <col min="787" max="787" width="8.85546875" style="167" customWidth="1"/>
    <col min="788" max="788" width="12" style="167" customWidth="1"/>
    <col min="789" max="794" width="0" style="167" hidden="1" customWidth="1"/>
    <col min="795" max="795" width="9.42578125" style="167" customWidth="1"/>
    <col min="796" max="796" width="12.140625" style="167" customWidth="1"/>
    <col min="797" max="797" width="11.42578125" style="167" customWidth="1"/>
    <col min="798" max="798" width="11.28515625" style="167" bestFit="1" customWidth="1"/>
    <col min="799" max="799" width="10.85546875" style="167" customWidth="1"/>
    <col min="800" max="800" width="11.5703125" style="167" customWidth="1"/>
    <col min="801" max="801" width="0" style="167" hidden="1" customWidth="1"/>
    <col min="802" max="802" width="8" style="167" customWidth="1"/>
    <col min="803" max="803" width="7.28515625" style="167" customWidth="1"/>
    <col min="804" max="804" width="18.7109375" style="167" customWidth="1"/>
    <col min="805" max="805" width="14.140625" style="167" customWidth="1"/>
    <col min="806" max="806" width="11.7109375" style="167" bestFit="1" customWidth="1"/>
    <col min="807" max="807" width="10.140625" style="167" bestFit="1" customWidth="1"/>
    <col min="808" max="1024" width="9" style="167"/>
    <col min="1025" max="1025" width="4.7109375" style="167" customWidth="1"/>
    <col min="1026" max="1026" width="8.140625" style="167" customWidth="1"/>
    <col min="1027" max="1027" width="16" style="167" customWidth="1"/>
    <col min="1028" max="1028" width="13.28515625" style="167" customWidth="1"/>
    <col min="1029" max="1029" width="87.7109375" style="167" customWidth="1"/>
    <col min="1030" max="1030" width="8.28515625" style="167" customWidth="1"/>
    <col min="1031" max="1031" width="0" style="167" hidden="1" customWidth="1"/>
    <col min="1032" max="1032" width="11.5703125" style="167" customWidth="1"/>
    <col min="1033" max="1033" width="11.42578125" style="167" customWidth="1"/>
    <col min="1034" max="1034" width="14.5703125" style="167" customWidth="1"/>
    <col min="1035" max="1035" width="13.5703125" style="167" customWidth="1"/>
    <col min="1036" max="1036" width="14.85546875" style="167" customWidth="1"/>
    <col min="1037" max="1037" width="0" style="167" hidden="1" customWidth="1"/>
    <col min="1038" max="1038" width="14.5703125" style="167" customWidth="1"/>
    <col min="1039" max="1039" width="12.140625" style="167" customWidth="1"/>
    <col min="1040" max="1040" width="13.85546875" style="167" customWidth="1"/>
    <col min="1041" max="1041" width="15.28515625" style="167" customWidth="1"/>
    <col min="1042" max="1042" width="11.7109375" style="167" customWidth="1"/>
    <col min="1043" max="1043" width="8.85546875" style="167" customWidth="1"/>
    <col min="1044" max="1044" width="12" style="167" customWidth="1"/>
    <col min="1045" max="1050" width="0" style="167" hidden="1" customWidth="1"/>
    <col min="1051" max="1051" width="9.42578125" style="167" customWidth="1"/>
    <col min="1052" max="1052" width="12.140625" style="167" customWidth="1"/>
    <col min="1053" max="1053" width="11.42578125" style="167" customWidth="1"/>
    <col min="1054" max="1054" width="11.28515625" style="167" bestFit="1" customWidth="1"/>
    <col min="1055" max="1055" width="10.85546875" style="167" customWidth="1"/>
    <col min="1056" max="1056" width="11.5703125" style="167" customWidth="1"/>
    <col min="1057" max="1057" width="0" style="167" hidden="1" customWidth="1"/>
    <col min="1058" max="1058" width="8" style="167" customWidth="1"/>
    <col min="1059" max="1059" width="7.28515625" style="167" customWidth="1"/>
    <col min="1060" max="1060" width="18.7109375" style="167" customWidth="1"/>
    <col min="1061" max="1061" width="14.140625" style="167" customWidth="1"/>
    <col min="1062" max="1062" width="11.7109375" style="167" bestFit="1" customWidth="1"/>
    <col min="1063" max="1063" width="10.140625" style="167" bestFit="1" customWidth="1"/>
    <col min="1064" max="1280" width="9" style="167"/>
    <col min="1281" max="1281" width="4.7109375" style="167" customWidth="1"/>
    <col min="1282" max="1282" width="8.140625" style="167" customWidth="1"/>
    <col min="1283" max="1283" width="16" style="167" customWidth="1"/>
    <col min="1284" max="1284" width="13.28515625" style="167" customWidth="1"/>
    <col min="1285" max="1285" width="87.7109375" style="167" customWidth="1"/>
    <col min="1286" max="1286" width="8.28515625" style="167" customWidth="1"/>
    <col min="1287" max="1287" width="0" style="167" hidden="1" customWidth="1"/>
    <col min="1288" max="1288" width="11.5703125" style="167" customWidth="1"/>
    <col min="1289" max="1289" width="11.42578125" style="167" customWidth="1"/>
    <col min="1290" max="1290" width="14.5703125" style="167" customWidth="1"/>
    <col min="1291" max="1291" width="13.5703125" style="167" customWidth="1"/>
    <col min="1292" max="1292" width="14.85546875" style="167" customWidth="1"/>
    <col min="1293" max="1293" width="0" style="167" hidden="1" customWidth="1"/>
    <col min="1294" max="1294" width="14.5703125" style="167" customWidth="1"/>
    <col min="1295" max="1295" width="12.140625" style="167" customWidth="1"/>
    <col min="1296" max="1296" width="13.85546875" style="167" customWidth="1"/>
    <col min="1297" max="1297" width="15.28515625" style="167" customWidth="1"/>
    <col min="1298" max="1298" width="11.7109375" style="167" customWidth="1"/>
    <col min="1299" max="1299" width="8.85546875" style="167" customWidth="1"/>
    <col min="1300" max="1300" width="12" style="167" customWidth="1"/>
    <col min="1301" max="1306" width="0" style="167" hidden="1" customWidth="1"/>
    <col min="1307" max="1307" width="9.42578125" style="167" customWidth="1"/>
    <col min="1308" max="1308" width="12.140625" style="167" customWidth="1"/>
    <col min="1309" max="1309" width="11.42578125" style="167" customWidth="1"/>
    <col min="1310" max="1310" width="11.28515625" style="167" bestFit="1" customWidth="1"/>
    <col min="1311" max="1311" width="10.85546875" style="167" customWidth="1"/>
    <col min="1312" max="1312" width="11.5703125" style="167" customWidth="1"/>
    <col min="1313" max="1313" width="0" style="167" hidden="1" customWidth="1"/>
    <col min="1314" max="1314" width="8" style="167" customWidth="1"/>
    <col min="1315" max="1315" width="7.28515625" style="167" customWidth="1"/>
    <col min="1316" max="1316" width="18.7109375" style="167" customWidth="1"/>
    <col min="1317" max="1317" width="14.140625" style="167" customWidth="1"/>
    <col min="1318" max="1318" width="11.7109375" style="167" bestFit="1" customWidth="1"/>
    <col min="1319" max="1319" width="10.140625" style="167" bestFit="1" customWidth="1"/>
    <col min="1320" max="1536" width="9" style="167"/>
    <col min="1537" max="1537" width="4.7109375" style="167" customWidth="1"/>
    <col min="1538" max="1538" width="8.140625" style="167" customWidth="1"/>
    <col min="1539" max="1539" width="16" style="167" customWidth="1"/>
    <col min="1540" max="1540" width="13.28515625" style="167" customWidth="1"/>
    <col min="1541" max="1541" width="87.7109375" style="167" customWidth="1"/>
    <col min="1542" max="1542" width="8.28515625" style="167" customWidth="1"/>
    <col min="1543" max="1543" width="0" style="167" hidden="1" customWidth="1"/>
    <col min="1544" max="1544" width="11.5703125" style="167" customWidth="1"/>
    <col min="1545" max="1545" width="11.42578125" style="167" customWidth="1"/>
    <col min="1546" max="1546" width="14.5703125" style="167" customWidth="1"/>
    <col min="1547" max="1547" width="13.5703125" style="167" customWidth="1"/>
    <col min="1548" max="1548" width="14.85546875" style="167" customWidth="1"/>
    <col min="1549" max="1549" width="0" style="167" hidden="1" customWidth="1"/>
    <col min="1550" max="1550" width="14.5703125" style="167" customWidth="1"/>
    <col min="1551" max="1551" width="12.140625" style="167" customWidth="1"/>
    <col min="1552" max="1552" width="13.85546875" style="167" customWidth="1"/>
    <col min="1553" max="1553" width="15.28515625" style="167" customWidth="1"/>
    <col min="1554" max="1554" width="11.7109375" style="167" customWidth="1"/>
    <col min="1555" max="1555" width="8.85546875" style="167" customWidth="1"/>
    <col min="1556" max="1556" width="12" style="167" customWidth="1"/>
    <col min="1557" max="1562" width="0" style="167" hidden="1" customWidth="1"/>
    <col min="1563" max="1563" width="9.42578125" style="167" customWidth="1"/>
    <col min="1564" max="1564" width="12.140625" style="167" customWidth="1"/>
    <col min="1565" max="1565" width="11.42578125" style="167" customWidth="1"/>
    <col min="1566" max="1566" width="11.28515625" style="167" bestFit="1" customWidth="1"/>
    <col min="1567" max="1567" width="10.85546875" style="167" customWidth="1"/>
    <col min="1568" max="1568" width="11.5703125" style="167" customWidth="1"/>
    <col min="1569" max="1569" width="0" style="167" hidden="1" customWidth="1"/>
    <col min="1570" max="1570" width="8" style="167" customWidth="1"/>
    <col min="1571" max="1571" width="7.28515625" style="167" customWidth="1"/>
    <col min="1572" max="1572" width="18.7109375" style="167" customWidth="1"/>
    <col min="1573" max="1573" width="14.140625" style="167" customWidth="1"/>
    <col min="1574" max="1574" width="11.7109375" style="167" bestFit="1" customWidth="1"/>
    <col min="1575" max="1575" width="10.140625" style="167" bestFit="1" customWidth="1"/>
    <col min="1576" max="1792" width="9" style="167"/>
    <col min="1793" max="1793" width="4.7109375" style="167" customWidth="1"/>
    <col min="1794" max="1794" width="8.140625" style="167" customWidth="1"/>
    <col min="1795" max="1795" width="16" style="167" customWidth="1"/>
    <col min="1796" max="1796" width="13.28515625" style="167" customWidth="1"/>
    <col min="1797" max="1797" width="87.7109375" style="167" customWidth="1"/>
    <col min="1798" max="1798" width="8.28515625" style="167" customWidth="1"/>
    <col min="1799" max="1799" width="0" style="167" hidden="1" customWidth="1"/>
    <col min="1800" max="1800" width="11.5703125" style="167" customWidth="1"/>
    <col min="1801" max="1801" width="11.42578125" style="167" customWidth="1"/>
    <col min="1802" max="1802" width="14.5703125" style="167" customWidth="1"/>
    <col min="1803" max="1803" width="13.5703125" style="167" customWidth="1"/>
    <col min="1804" max="1804" width="14.85546875" style="167" customWidth="1"/>
    <col min="1805" max="1805" width="0" style="167" hidden="1" customWidth="1"/>
    <col min="1806" max="1806" width="14.5703125" style="167" customWidth="1"/>
    <col min="1807" max="1807" width="12.140625" style="167" customWidth="1"/>
    <col min="1808" max="1808" width="13.85546875" style="167" customWidth="1"/>
    <col min="1809" max="1809" width="15.28515625" style="167" customWidth="1"/>
    <col min="1810" max="1810" width="11.7109375" style="167" customWidth="1"/>
    <col min="1811" max="1811" width="8.85546875" style="167" customWidth="1"/>
    <col min="1812" max="1812" width="12" style="167" customWidth="1"/>
    <col min="1813" max="1818" width="0" style="167" hidden="1" customWidth="1"/>
    <col min="1819" max="1819" width="9.42578125" style="167" customWidth="1"/>
    <col min="1820" max="1820" width="12.140625" style="167" customWidth="1"/>
    <col min="1821" max="1821" width="11.42578125" style="167" customWidth="1"/>
    <col min="1822" max="1822" width="11.28515625" style="167" bestFit="1" customWidth="1"/>
    <col min="1823" max="1823" width="10.85546875" style="167" customWidth="1"/>
    <col min="1824" max="1824" width="11.5703125" style="167" customWidth="1"/>
    <col min="1825" max="1825" width="0" style="167" hidden="1" customWidth="1"/>
    <col min="1826" max="1826" width="8" style="167" customWidth="1"/>
    <col min="1827" max="1827" width="7.28515625" style="167" customWidth="1"/>
    <col min="1828" max="1828" width="18.7109375" style="167" customWidth="1"/>
    <col min="1829" max="1829" width="14.140625" style="167" customWidth="1"/>
    <col min="1830" max="1830" width="11.7109375" style="167" bestFit="1" customWidth="1"/>
    <col min="1831" max="1831" width="10.140625" style="167" bestFit="1" customWidth="1"/>
    <col min="1832" max="2048" width="9" style="167"/>
    <col min="2049" max="2049" width="4.7109375" style="167" customWidth="1"/>
    <col min="2050" max="2050" width="8.140625" style="167" customWidth="1"/>
    <col min="2051" max="2051" width="16" style="167" customWidth="1"/>
    <col min="2052" max="2052" width="13.28515625" style="167" customWidth="1"/>
    <col min="2053" max="2053" width="87.7109375" style="167" customWidth="1"/>
    <col min="2054" max="2054" width="8.28515625" style="167" customWidth="1"/>
    <col min="2055" max="2055" width="0" style="167" hidden="1" customWidth="1"/>
    <col min="2056" max="2056" width="11.5703125" style="167" customWidth="1"/>
    <col min="2057" max="2057" width="11.42578125" style="167" customWidth="1"/>
    <col min="2058" max="2058" width="14.5703125" style="167" customWidth="1"/>
    <col min="2059" max="2059" width="13.5703125" style="167" customWidth="1"/>
    <col min="2060" max="2060" width="14.85546875" style="167" customWidth="1"/>
    <col min="2061" max="2061" width="0" style="167" hidden="1" customWidth="1"/>
    <col min="2062" max="2062" width="14.5703125" style="167" customWidth="1"/>
    <col min="2063" max="2063" width="12.140625" style="167" customWidth="1"/>
    <col min="2064" max="2064" width="13.85546875" style="167" customWidth="1"/>
    <col min="2065" max="2065" width="15.28515625" style="167" customWidth="1"/>
    <col min="2066" max="2066" width="11.7109375" style="167" customWidth="1"/>
    <col min="2067" max="2067" width="8.85546875" style="167" customWidth="1"/>
    <col min="2068" max="2068" width="12" style="167" customWidth="1"/>
    <col min="2069" max="2074" width="0" style="167" hidden="1" customWidth="1"/>
    <col min="2075" max="2075" width="9.42578125" style="167" customWidth="1"/>
    <col min="2076" max="2076" width="12.140625" style="167" customWidth="1"/>
    <col min="2077" max="2077" width="11.42578125" style="167" customWidth="1"/>
    <col min="2078" max="2078" width="11.28515625" style="167" bestFit="1" customWidth="1"/>
    <col min="2079" max="2079" width="10.85546875" style="167" customWidth="1"/>
    <col min="2080" max="2080" width="11.5703125" style="167" customWidth="1"/>
    <col min="2081" max="2081" width="0" style="167" hidden="1" customWidth="1"/>
    <col min="2082" max="2082" width="8" style="167" customWidth="1"/>
    <col min="2083" max="2083" width="7.28515625" style="167" customWidth="1"/>
    <col min="2084" max="2084" width="18.7109375" style="167" customWidth="1"/>
    <col min="2085" max="2085" width="14.140625" style="167" customWidth="1"/>
    <col min="2086" max="2086" width="11.7109375" style="167" bestFit="1" customWidth="1"/>
    <col min="2087" max="2087" width="10.140625" style="167" bestFit="1" customWidth="1"/>
    <col min="2088" max="2304" width="9" style="167"/>
    <col min="2305" max="2305" width="4.7109375" style="167" customWidth="1"/>
    <col min="2306" max="2306" width="8.140625" style="167" customWidth="1"/>
    <col min="2307" max="2307" width="16" style="167" customWidth="1"/>
    <col min="2308" max="2308" width="13.28515625" style="167" customWidth="1"/>
    <col min="2309" max="2309" width="87.7109375" style="167" customWidth="1"/>
    <col min="2310" max="2310" width="8.28515625" style="167" customWidth="1"/>
    <col min="2311" max="2311" width="0" style="167" hidden="1" customWidth="1"/>
    <col min="2312" max="2312" width="11.5703125" style="167" customWidth="1"/>
    <col min="2313" max="2313" width="11.42578125" style="167" customWidth="1"/>
    <col min="2314" max="2314" width="14.5703125" style="167" customWidth="1"/>
    <col min="2315" max="2315" width="13.5703125" style="167" customWidth="1"/>
    <col min="2316" max="2316" width="14.85546875" style="167" customWidth="1"/>
    <col min="2317" max="2317" width="0" style="167" hidden="1" customWidth="1"/>
    <col min="2318" max="2318" width="14.5703125" style="167" customWidth="1"/>
    <col min="2319" max="2319" width="12.140625" style="167" customWidth="1"/>
    <col min="2320" max="2320" width="13.85546875" style="167" customWidth="1"/>
    <col min="2321" max="2321" width="15.28515625" style="167" customWidth="1"/>
    <col min="2322" max="2322" width="11.7109375" style="167" customWidth="1"/>
    <col min="2323" max="2323" width="8.85546875" style="167" customWidth="1"/>
    <col min="2324" max="2324" width="12" style="167" customWidth="1"/>
    <col min="2325" max="2330" width="0" style="167" hidden="1" customWidth="1"/>
    <col min="2331" max="2331" width="9.42578125" style="167" customWidth="1"/>
    <col min="2332" max="2332" width="12.140625" style="167" customWidth="1"/>
    <col min="2333" max="2333" width="11.42578125" style="167" customWidth="1"/>
    <col min="2334" max="2334" width="11.28515625" style="167" bestFit="1" customWidth="1"/>
    <col min="2335" max="2335" width="10.85546875" style="167" customWidth="1"/>
    <col min="2336" max="2336" width="11.5703125" style="167" customWidth="1"/>
    <col min="2337" max="2337" width="0" style="167" hidden="1" customWidth="1"/>
    <col min="2338" max="2338" width="8" style="167" customWidth="1"/>
    <col min="2339" max="2339" width="7.28515625" style="167" customWidth="1"/>
    <col min="2340" max="2340" width="18.7109375" style="167" customWidth="1"/>
    <col min="2341" max="2341" width="14.140625" style="167" customWidth="1"/>
    <col min="2342" max="2342" width="11.7109375" style="167" bestFit="1" customWidth="1"/>
    <col min="2343" max="2343" width="10.140625" style="167" bestFit="1" customWidth="1"/>
    <col min="2344" max="2560" width="9" style="167"/>
    <col min="2561" max="2561" width="4.7109375" style="167" customWidth="1"/>
    <col min="2562" max="2562" width="8.140625" style="167" customWidth="1"/>
    <col min="2563" max="2563" width="16" style="167" customWidth="1"/>
    <col min="2564" max="2564" width="13.28515625" style="167" customWidth="1"/>
    <col min="2565" max="2565" width="87.7109375" style="167" customWidth="1"/>
    <col min="2566" max="2566" width="8.28515625" style="167" customWidth="1"/>
    <col min="2567" max="2567" width="0" style="167" hidden="1" customWidth="1"/>
    <col min="2568" max="2568" width="11.5703125" style="167" customWidth="1"/>
    <col min="2569" max="2569" width="11.42578125" style="167" customWidth="1"/>
    <col min="2570" max="2570" width="14.5703125" style="167" customWidth="1"/>
    <col min="2571" max="2571" width="13.5703125" style="167" customWidth="1"/>
    <col min="2572" max="2572" width="14.85546875" style="167" customWidth="1"/>
    <col min="2573" max="2573" width="0" style="167" hidden="1" customWidth="1"/>
    <col min="2574" max="2574" width="14.5703125" style="167" customWidth="1"/>
    <col min="2575" max="2575" width="12.140625" style="167" customWidth="1"/>
    <col min="2576" max="2576" width="13.85546875" style="167" customWidth="1"/>
    <col min="2577" max="2577" width="15.28515625" style="167" customWidth="1"/>
    <col min="2578" max="2578" width="11.7109375" style="167" customWidth="1"/>
    <col min="2579" max="2579" width="8.85546875" style="167" customWidth="1"/>
    <col min="2580" max="2580" width="12" style="167" customWidth="1"/>
    <col min="2581" max="2586" width="0" style="167" hidden="1" customWidth="1"/>
    <col min="2587" max="2587" width="9.42578125" style="167" customWidth="1"/>
    <col min="2588" max="2588" width="12.140625" style="167" customWidth="1"/>
    <col min="2589" max="2589" width="11.42578125" style="167" customWidth="1"/>
    <col min="2590" max="2590" width="11.28515625" style="167" bestFit="1" customWidth="1"/>
    <col min="2591" max="2591" width="10.85546875" style="167" customWidth="1"/>
    <col min="2592" max="2592" width="11.5703125" style="167" customWidth="1"/>
    <col min="2593" max="2593" width="0" style="167" hidden="1" customWidth="1"/>
    <col min="2594" max="2594" width="8" style="167" customWidth="1"/>
    <col min="2595" max="2595" width="7.28515625" style="167" customWidth="1"/>
    <col min="2596" max="2596" width="18.7109375" style="167" customWidth="1"/>
    <col min="2597" max="2597" width="14.140625" style="167" customWidth="1"/>
    <col min="2598" max="2598" width="11.7109375" style="167" bestFit="1" customWidth="1"/>
    <col min="2599" max="2599" width="10.140625" style="167" bestFit="1" customWidth="1"/>
    <col min="2600" max="2816" width="9" style="167"/>
    <col min="2817" max="2817" width="4.7109375" style="167" customWidth="1"/>
    <col min="2818" max="2818" width="8.140625" style="167" customWidth="1"/>
    <col min="2819" max="2819" width="16" style="167" customWidth="1"/>
    <col min="2820" max="2820" width="13.28515625" style="167" customWidth="1"/>
    <col min="2821" max="2821" width="87.7109375" style="167" customWidth="1"/>
    <col min="2822" max="2822" width="8.28515625" style="167" customWidth="1"/>
    <col min="2823" max="2823" width="0" style="167" hidden="1" customWidth="1"/>
    <col min="2824" max="2824" width="11.5703125" style="167" customWidth="1"/>
    <col min="2825" max="2825" width="11.42578125" style="167" customWidth="1"/>
    <col min="2826" max="2826" width="14.5703125" style="167" customWidth="1"/>
    <col min="2827" max="2827" width="13.5703125" style="167" customWidth="1"/>
    <col min="2828" max="2828" width="14.85546875" style="167" customWidth="1"/>
    <col min="2829" max="2829" width="0" style="167" hidden="1" customWidth="1"/>
    <col min="2830" max="2830" width="14.5703125" style="167" customWidth="1"/>
    <col min="2831" max="2831" width="12.140625" style="167" customWidth="1"/>
    <col min="2832" max="2832" width="13.85546875" style="167" customWidth="1"/>
    <col min="2833" max="2833" width="15.28515625" style="167" customWidth="1"/>
    <col min="2834" max="2834" width="11.7109375" style="167" customWidth="1"/>
    <col min="2835" max="2835" width="8.85546875" style="167" customWidth="1"/>
    <col min="2836" max="2836" width="12" style="167" customWidth="1"/>
    <col min="2837" max="2842" width="0" style="167" hidden="1" customWidth="1"/>
    <col min="2843" max="2843" width="9.42578125" style="167" customWidth="1"/>
    <col min="2844" max="2844" width="12.140625" style="167" customWidth="1"/>
    <col min="2845" max="2845" width="11.42578125" style="167" customWidth="1"/>
    <col min="2846" max="2846" width="11.28515625" style="167" bestFit="1" customWidth="1"/>
    <col min="2847" max="2847" width="10.85546875" style="167" customWidth="1"/>
    <col min="2848" max="2848" width="11.5703125" style="167" customWidth="1"/>
    <col min="2849" max="2849" width="0" style="167" hidden="1" customWidth="1"/>
    <col min="2850" max="2850" width="8" style="167" customWidth="1"/>
    <col min="2851" max="2851" width="7.28515625" style="167" customWidth="1"/>
    <col min="2852" max="2852" width="18.7109375" style="167" customWidth="1"/>
    <col min="2853" max="2853" width="14.140625" style="167" customWidth="1"/>
    <col min="2854" max="2854" width="11.7109375" style="167" bestFit="1" customWidth="1"/>
    <col min="2855" max="2855" width="10.140625" style="167" bestFit="1" customWidth="1"/>
    <col min="2856" max="3072" width="9" style="167"/>
    <col min="3073" max="3073" width="4.7109375" style="167" customWidth="1"/>
    <col min="3074" max="3074" width="8.140625" style="167" customWidth="1"/>
    <col min="3075" max="3075" width="16" style="167" customWidth="1"/>
    <col min="3076" max="3076" width="13.28515625" style="167" customWidth="1"/>
    <col min="3077" max="3077" width="87.7109375" style="167" customWidth="1"/>
    <col min="3078" max="3078" width="8.28515625" style="167" customWidth="1"/>
    <col min="3079" max="3079" width="0" style="167" hidden="1" customWidth="1"/>
    <col min="3080" max="3080" width="11.5703125" style="167" customWidth="1"/>
    <col min="3081" max="3081" width="11.42578125" style="167" customWidth="1"/>
    <col min="3082" max="3082" width="14.5703125" style="167" customWidth="1"/>
    <col min="3083" max="3083" width="13.5703125" style="167" customWidth="1"/>
    <col min="3084" max="3084" width="14.85546875" style="167" customWidth="1"/>
    <col min="3085" max="3085" width="0" style="167" hidden="1" customWidth="1"/>
    <col min="3086" max="3086" width="14.5703125" style="167" customWidth="1"/>
    <col min="3087" max="3087" width="12.140625" style="167" customWidth="1"/>
    <col min="3088" max="3088" width="13.85546875" style="167" customWidth="1"/>
    <col min="3089" max="3089" width="15.28515625" style="167" customWidth="1"/>
    <col min="3090" max="3090" width="11.7109375" style="167" customWidth="1"/>
    <col min="3091" max="3091" width="8.85546875" style="167" customWidth="1"/>
    <col min="3092" max="3092" width="12" style="167" customWidth="1"/>
    <col min="3093" max="3098" width="0" style="167" hidden="1" customWidth="1"/>
    <col min="3099" max="3099" width="9.42578125" style="167" customWidth="1"/>
    <col min="3100" max="3100" width="12.140625" style="167" customWidth="1"/>
    <col min="3101" max="3101" width="11.42578125" style="167" customWidth="1"/>
    <col min="3102" max="3102" width="11.28515625" style="167" bestFit="1" customWidth="1"/>
    <col min="3103" max="3103" width="10.85546875" style="167" customWidth="1"/>
    <col min="3104" max="3104" width="11.5703125" style="167" customWidth="1"/>
    <col min="3105" max="3105" width="0" style="167" hidden="1" customWidth="1"/>
    <col min="3106" max="3106" width="8" style="167" customWidth="1"/>
    <col min="3107" max="3107" width="7.28515625" style="167" customWidth="1"/>
    <col min="3108" max="3108" width="18.7109375" style="167" customWidth="1"/>
    <col min="3109" max="3109" width="14.140625" style="167" customWidth="1"/>
    <col min="3110" max="3110" width="11.7109375" style="167" bestFit="1" customWidth="1"/>
    <col min="3111" max="3111" width="10.140625" style="167" bestFit="1" customWidth="1"/>
    <col min="3112" max="3328" width="9" style="167"/>
    <col min="3329" max="3329" width="4.7109375" style="167" customWidth="1"/>
    <col min="3330" max="3330" width="8.140625" style="167" customWidth="1"/>
    <col min="3331" max="3331" width="16" style="167" customWidth="1"/>
    <col min="3332" max="3332" width="13.28515625" style="167" customWidth="1"/>
    <col min="3333" max="3333" width="87.7109375" style="167" customWidth="1"/>
    <col min="3334" max="3334" width="8.28515625" style="167" customWidth="1"/>
    <col min="3335" max="3335" width="0" style="167" hidden="1" customWidth="1"/>
    <col min="3336" max="3336" width="11.5703125" style="167" customWidth="1"/>
    <col min="3337" max="3337" width="11.42578125" style="167" customWidth="1"/>
    <col min="3338" max="3338" width="14.5703125" style="167" customWidth="1"/>
    <col min="3339" max="3339" width="13.5703125" style="167" customWidth="1"/>
    <col min="3340" max="3340" width="14.85546875" style="167" customWidth="1"/>
    <col min="3341" max="3341" width="0" style="167" hidden="1" customWidth="1"/>
    <col min="3342" max="3342" width="14.5703125" style="167" customWidth="1"/>
    <col min="3343" max="3343" width="12.140625" style="167" customWidth="1"/>
    <col min="3344" max="3344" width="13.85546875" style="167" customWidth="1"/>
    <col min="3345" max="3345" width="15.28515625" style="167" customWidth="1"/>
    <col min="3346" max="3346" width="11.7109375" style="167" customWidth="1"/>
    <col min="3347" max="3347" width="8.85546875" style="167" customWidth="1"/>
    <col min="3348" max="3348" width="12" style="167" customWidth="1"/>
    <col min="3349" max="3354" width="0" style="167" hidden="1" customWidth="1"/>
    <col min="3355" max="3355" width="9.42578125" style="167" customWidth="1"/>
    <col min="3356" max="3356" width="12.140625" style="167" customWidth="1"/>
    <col min="3357" max="3357" width="11.42578125" style="167" customWidth="1"/>
    <col min="3358" max="3358" width="11.28515625" style="167" bestFit="1" customWidth="1"/>
    <col min="3359" max="3359" width="10.85546875" style="167" customWidth="1"/>
    <col min="3360" max="3360" width="11.5703125" style="167" customWidth="1"/>
    <col min="3361" max="3361" width="0" style="167" hidden="1" customWidth="1"/>
    <col min="3362" max="3362" width="8" style="167" customWidth="1"/>
    <col min="3363" max="3363" width="7.28515625" style="167" customWidth="1"/>
    <col min="3364" max="3364" width="18.7109375" style="167" customWidth="1"/>
    <col min="3365" max="3365" width="14.140625" style="167" customWidth="1"/>
    <col min="3366" max="3366" width="11.7109375" style="167" bestFit="1" customWidth="1"/>
    <col min="3367" max="3367" width="10.140625" style="167" bestFit="1" customWidth="1"/>
    <col min="3368" max="3584" width="9" style="167"/>
    <col min="3585" max="3585" width="4.7109375" style="167" customWidth="1"/>
    <col min="3586" max="3586" width="8.140625" style="167" customWidth="1"/>
    <col min="3587" max="3587" width="16" style="167" customWidth="1"/>
    <col min="3588" max="3588" width="13.28515625" style="167" customWidth="1"/>
    <col min="3589" max="3589" width="87.7109375" style="167" customWidth="1"/>
    <col min="3590" max="3590" width="8.28515625" style="167" customWidth="1"/>
    <col min="3591" max="3591" width="0" style="167" hidden="1" customWidth="1"/>
    <col min="3592" max="3592" width="11.5703125" style="167" customWidth="1"/>
    <col min="3593" max="3593" width="11.42578125" style="167" customWidth="1"/>
    <col min="3594" max="3594" width="14.5703125" style="167" customWidth="1"/>
    <col min="3595" max="3595" width="13.5703125" style="167" customWidth="1"/>
    <col min="3596" max="3596" width="14.85546875" style="167" customWidth="1"/>
    <col min="3597" max="3597" width="0" style="167" hidden="1" customWidth="1"/>
    <col min="3598" max="3598" width="14.5703125" style="167" customWidth="1"/>
    <col min="3599" max="3599" width="12.140625" style="167" customWidth="1"/>
    <col min="3600" max="3600" width="13.85546875" style="167" customWidth="1"/>
    <col min="3601" max="3601" width="15.28515625" style="167" customWidth="1"/>
    <col min="3602" max="3602" width="11.7109375" style="167" customWidth="1"/>
    <col min="3603" max="3603" width="8.85546875" style="167" customWidth="1"/>
    <col min="3604" max="3604" width="12" style="167" customWidth="1"/>
    <col min="3605" max="3610" width="0" style="167" hidden="1" customWidth="1"/>
    <col min="3611" max="3611" width="9.42578125" style="167" customWidth="1"/>
    <col min="3612" max="3612" width="12.140625" style="167" customWidth="1"/>
    <col min="3613" max="3613" width="11.42578125" style="167" customWidth="1"/>
    <col min="3614" max="3614" width="11.28515625" style="167" bestFit="1" customWidth="1"/>
    <col min="3615" max="3615" width="10.85546875" style="167" customWidth="1"/>
    <col min="3616" max="3616" width="11.5703125" style="167" customWidth="1"/>
    <col min="3617" max="3617" width="0" style="167" hidden="1" customWidth="1"/>
    <col min="3618" max="3618" width="8" style="167" customWidth="1"/>
    <col min="3619" max="3619" width="7.28515625" style="167" customWidth="1"/>
    <col min="3620" max="3620" width="18.7109375" style="167" customWidth="1"/>
    <col min="3621" max="3621" width="14.140625" style="167" customWidth="1"/>
    <col min="3622" max="3622" width="11.7109375" style="167" bestFit="1" customWidth="1"/>
    <col min="3623" max="3623" width="10.140625" style="167" bestFit="1" customWidth="1"/>
    <col min="3624" max="3840" width="9" style="167"/>
    <col min="3841" max="3841" width="4.7109375" style="167" customWidth="1"/>
    <col min="3842" max="3842" width="8.140625" style="167" customWidth="1"/>
    <col min="3843" max="3843" width="16" style="167" customWidth="1"/>
    <col min="3844" max="3844" width="13.28515625" style="167" customWidth="1"/>
    <col min="3845" max="3845" width="87.7109375" style="167" customWidth="1"/>
    <col min="3846" max="3846" width="8.28515625" style="167" customWidth="1"/>
    <col min="3847" max="3847" width="0" style="167" hidden="1" customWidth="1"/>
    <col min="3848" max="3848" width="11.5703125" style="167" customWidth="1"/>
    <col min="3849" max="3849" width="11.42578125" style="167" customWidth="1"/>
    <col min="3850" max="3850" width="14.5703125" style="167" customWidth="1"/>
    <col min="3851" max="3851" width="13.5703125" style="167" customWidth="1"/>
    <col min="3852" max="3852" width="14.85546875" style="167" customWidth="1"/>
    <col min="3853" max="3853" width="0" style="167" hidden="1" customWidth="1"/>
    <col min="3854" max="3854" width="14.5703125" style="167" customWidth="1"/>
    <col min="3855" max="3855" width="12.140625" style="167" customWidth="1"/>
    <col min="3856" max="3856" width="13.85546875" style="167" customWidth="1"/>
    <col min="3857" max="3857" width="15.28515625" style="167" customWidth="1"/>
    <col min="3858" max="3858" width="11.7109375" style="167" customWidth="1"/>
    <col min="3859" max="3859" width="8.85546875" style="167" customWidth="1"/>
    <col min="3860" max="3860" width="12" style="167" customWidth="1"/>
    <col min="3861" max="3866" width="0" style="167" hidden="1" customWidth="1"/>
    <col min="3867" max="3867" width="9.42578125" style="167" customWidth="1"/>
    <col min="3868" max="3868" width="12.140625" style="167" customWidth="1"/>
    <col min="3869" max="3869" width="11.42578125" style="167" customWidth="1"/>
    <col min="3870" max="3870" width="11.28515625" style="167" bestFit="1" customWidth="1"/>
    <col min="3871" max="3871" width="10.85546875" style="167" customWidth="1"/>
    <col min="3872" max="3872" width="11.5703125" style="167" customWidth="1"/>
    <col min="3873" max="3873" width="0" style="167" hidden="1" customWidth="1"/>
    <col min="3874" max="3874" width="8" style="167" customWidth="1"/>
    <col min="3875" max="3875" width="7.28515625" style="167" customWidth="1"/>
    <col min="3876" max="3876" width="18.7109375" style="167" customWidth="1"/>
    <col min="3877" max="3877" width="14.140625" style="167" customWidth="1"/>
    <col min="3878" max="3878" width="11.7109375" style="167" bestFit="1" customWidth="1"/>
    <col min="3879" max="3879" width="10.140625" style="167" bestFit="1" customWidth="1"/>
    <col min="3880" max="4096" width="9" style="167"/>
    <col min="4097" max="4097" width="4.7109375" style="167" customWidth="1"/>
    <col min="4098" max="4098" width="8.140625" style="167" customWidth="1"/>
    <col min="4099" max="4099" width="16" style="167" customWidth="1"/>
    <col min="4100" max="4100" width="13.28515625" style="167" customWidth="1"/>
    <col min="4101" max="4101" width="87.7109375" style="167" customWidth="1"/>
    <col min="4102" max="4102" width="8.28515625" style="167" customWidth="1"/>
    <col min="4103" max="4103" width="0" style="167" hidden="1" customWidth="1"/>
    <col min="4104" max="4104" width="11.5703125" style="167" customWidth="1"/>
    <col min="4105" max="4105" width="11.42578125" style="167" customWidth="1"/>
    <col min="4106" max="4106" width="14.5703125" style="167" customWidth="1"/>
    <col min="4107" max="4107" width="13.5703125" style="167" customWidth="1"/>
    <col min="4108" max="4108" width="14.85546875" style="167" customWidth="1"/>
    <col min="4109" max="4109" width="0" style="167" hidden="1" customWidth="1"/>
    <col min="4110" max="4110" width="14.5703125" style="167" customWidth="1"/>
    <col min="4111" max="4111" width="12.140625" style="167" customWidth="1"/>
    <col min="4112" max="4112" width="13.85546875" style="167" customWidth="1"/>
    <col min="4113" max="4113" width="15.28515625" style="167" customWidth="1"/>
    <col min="4114" max="4114" width="11.7109375" style="167" customWidth="1"/>
    <col min="4115" max="4115" width="8.85546875" style="167" customWidth="1"/>
    <col min="4116" max="4116" width="12" style="167" customWidth="1"/>
    <col min="4117" max="4122" width="0" style="167" hidden="1" customWidth="1"/>
    <col min="4123" max="4123" width="9.42578125" style="167" customWidth="1"/>
    <col min="4124" max="4124" width="12.140625" style="167" customWidth="1"/>
    <col min="4125" max="4125" width="11.42578125" style="167" customWidth="1"/>
    <col min="4126" max="4126" width="11.28515625" style="167" bestFit="1" customWidth="1"/>
    <col min="4127" max="4127" width="10.85546875" style="167" customWidth="1"/>
    <col min="4128" max="4128" width="11.5703125" style="167" customWidth="1"/>
    <col min="4129" max="4129" width="0" style="167" hidden="1" customWidth="1"/>
    <col min="4130" max="4130" width="8" style="167" customWidth="1"/>
    <col min="4131" max="4131" width="7.28515625" style="167" customWidth="1"/>
    <col min="4132" max="4132" width="18.7109375" style="167" customWidth="1"/>
    <col min="4133" max="4133" width="14.140625" style="167" customWidth="1"/>
    <col min="4134" max="4134" width="11.7109375" style="167" bestFit="1" customWidth="1"/>
    <col min="4135" max="4135" width="10.140625" style="167" bestFit="1" customWidth="1"/>
    <col min="4136" max="4352" width="9" style="167"/>
    <col min="4353" max="4353" width="4.7109375" style="167" customWidth="1"/>
    <col min="4354" max="4354" width="8.140625" style="167" customWidth="1"/>
    <col min="4355" max="4355" width="16" style="167" customWidth="1"/>
    <col min="4356" max="4356" width="13.28515625" style="167" customWidth="1"/>
    <col min="4357" max="4357" width="87.7109375" style="167" customWidth="1"/>
    <col min="4358" max="4358" width="8.28515625" style="167" customWidth="1"/>
    <col min="4359" max="4359" width="0" style="167" hidden="1" customWidth="1"/>
    <col min="4360" max="4360" width="11.5703125" style="167" customWidth="1"/>
    <col min="4361" max="4361" width="11.42578125" style="167" customWidth="1"/>
    <col min="4362" max="4362" width="14.5703125" style="167" customWidth="1"/>
    <col min="4363" max="4363" width="13.5703125" style="167" customWidth="1"/>
    <col min="4364" max="4364" width="14.85546875" style="167" customWidth="1"/>
    <col min="4365" max="4365" width="0" style="167" hidden="1" customWidth="1"/>
    <col min="4366" max="4366" width="14.5703125" style="167" customWidth="1"/>
    <col min="4367" max="4367" width="12.140625" style="167" customWidth="1"/>
    <col min="4368" max="4368" width="13.85546875" style="167" customWidth="1"/>
    <col min="4369" max="4369" width="15.28515625" style="167" customWidth="1"/>
    <col min="4370" max="4370" width="11.7109375" style="167" customWidth="1"/>
    <col min="4371" max="4371" width="8.85546875" style="167" customWidth="1"/>
    <col min="4372" max="4372" width="12" style="167" customWidth="1"/>
    <col min="4373" max="4378" width="0" style="167" hidden="1" customWidth="1"/>
    <col min="4379" max="4379" width="9.42578125" style="167" customWidth="1"/>
    <col min="4380" max="4380" width="12.140625" style="167" customWidth="1"/>
    <col min="4381" max="4381" width="11.42578125" style="167" customWidth="1"/>
    <col min="4382" max="4382" width="11.28515625" style="167" bestFit="1" customWidth="1"/>
    <col min="4383" max="4383" width="10.85546875" style="167" customWidth="1"/>
    <col min="4384" max="4384" width="11.5703125" style="167" customWidth="1"/>
    <col min="4385" max="4385" width="0" style="167" hidden="1" customWidth="1"/>
    <col min="4386" max="4386" width="8" style="167" customWidth="1"/>
    <col min="4387" max="4387" width="7.28515625" style="167" customWidth="1"/>
    <col min="4388" max="4388" width="18.7109375" style="167" customWidth="1"/>
    <col min="4389" max="4389" width="14.140625" style="167" customWidth="1"/>
    <col min="4390" max="4390" width="11.7109375" style="167" bestFit="1" customWidth="1"/>
    <col min="4391" max="4391" width="10.140625" style="167" bestFit="1" customWidth="1"/>
    <col min="4392" max="4608" width="9" style="167"/>
    <col min="4609" max="4609" width="4.7109375" style="167" customWidth="1"/>
    <col min="4610" max="4610" width="8.140625" style="167" customWidth="1"/>
    <col min="4611" max="4611" width="16" style="167" customWidth="1"/>
    <col min="4612" max="4612" width="13.28515625" style="167" customWidth="1"/>
    <col min="4613" max="4613" width="87.7109375" style="167" customWidth="1"/>
    <col min="4614" max="4614" width="8.28515625" style="167" customWidth="1"/>
    <col min="4615" max="4615" width="0" style="167" hidden="1" customWidth="1"/>
    <col min="4616" max="4616" width="11.5703125" style="167" customWidth="1"/>
    <col min="4617" max="4617" width="11.42578125" style="167" customWidth="1"/>
    <col min="4618" max="4618" width="14.5703125" style="167" customWidth="1"/>
    <col min="4619" max="4619" width="13.5703125" style="167" customWidth="1"/>
    <col min="4620" max="4620" width="14.85546875" style="167" customWidth="1"/>
    <col min="4621" max="4621" width="0" style="167" hidden="1" customWidth="1"/>
    <col min="4622" max="4622" width="14.5703125" style="167" customWidth="1"/>
    <col min="4623" max="4623" width="12.140625" style="167" customWidth="1"/>
    <col min="4624" max="4624" width="13.85546875" style="167" customWidth="1"/>
    <col min="4625" max="4625" width="15.28515625" style="167" customWidth="1"/>
    <col min="4626" max="4626" width="11.7109375" style="167" customWidth="1"/>
    <col min="4627" max="4627" width="8.85546875" style="167" customWidth="1"/>
    <col min="4628" max="4628" width="12" style="167" customWidth="1"/>
    <col min="4629" max="4634" width="0" style="167" hidden="1" customWidth="1"/>
    <col min="4635" max="4635" width="9.42578125" style="167" customWidth="1"/>
    <col min="4636" max="4636" width="12.140625" style="167" customWidth="1"/>
    <col min="4637" max="4637" width="11.42578125" style="167" customWidth="1"/>
    <col min="4638" max="4638" width="11.28515625" style="167" bestFit="1" customWidth="1"/>
    <col min="4639" max="4639" width="10.85546875" style="167" customWidth="1"/>
    <col min="4640" max="4640" width="11.5703125" style="167" customWidth="1"/>
    <col min="4641" max="4641" width="0" style="167" hidden="1" customWidth="1"/>
    <col min="4642" max="4642" width="8" style="167" customWidth="1"/>
    <col min="4643" max="4643" width="7.28515625" style="167" customWidth="1"/>
    <col min="4644" max="4644" width="18.7109375" style="167" customWidth="1"/>
    <col min="4645" max="4645" width="14.140625" style="167" customWidth="1"/>
    <col min="4646" max="4646" width="11.7109375" style="167" bestFit="1" customWidth="1"/>
    <col min="4647" max="4647" width="10.140625" style="167" bestFit="1" customWidth="1"/>
    <col min="4648" max="4864" width="9" style="167"/>
    <col min="4865" max="4865" width="4.7109375" style="167" customWidth="1"/>
    <col min="4866" max="4866" width="8.140625" style="167" customWidth="1"/>
    <col min="4867" max="4867" width="16" style="167" customWidth="1"/>
    <col min="4868" max="4868" width="13.28515625" style="167" customWidth="1"/>
    <col min="4869" max="4869" width="87.7109375" style="167" customWidth="1"/>
    <col min="4870" max="4870" width="8.28515625" style="167" customWidth="1"/>
    <col min="4871" max="4871" width="0" style="167" hidden="1" customWidth="1"/>
    <col min="4872" max="4872" width="11.5703125" style="167" customWidth="1"/>
    <col min="4873" max="4873" width="11.42578125" style="167" customWidth="1"/>
    <col min="4874" max="4874" width="14.5703125" style="167" customWidth="1"/>
    <col min="4875" max="4875" width="13.5703125" style="167" customWidth="1"/>
    <col min="4876" max="4876" width="14.85546875" style="167" customWidth="1"/>
    <col min="4877" max="4877" width="0" style="167" hidden="1" customWidth="1"/>
    <col min="4878" max="4878" width="14.5703125" style="167" customWidth="1"/>
    <col min="4879" max="4879" width="12.140625" style="167" customWidth="1"/>
    <col min="4880" max="4880" width="13.85546875" style="167" customWidth="1"/>
    <col min="4881" max="4881" width="15.28515625" style="167" customWidth="1"/>
    <col min="4882" max="4882" width="11.7109375" style="167" customWidth="1"/>
    <col min="4883" max="4883" width="8.85546875" style="167" customWidth="1"/>
    <col min="4884" max="4884" width="12" style="167" customWidth="1"/>
    <col min="4885" max="4890" width="0" style="167" hidden="1" customWidth="1"/>
    <col min="4891" max="4891" width="9.42578125" style="167" customWidth="1"/>
    <col min="4892" max="4892" width="12.140625" style="167" customWidth="1"/>
    <col min="4893" max="4893" width="11.42578125" style="167" customWidth="1"/>
    <col min="4894" max="4894" width="11.28515625" style="167" bestFit="1" customWidth="1"/>
    <col min="4895" max="4895" width="10.85546875" style="167" customWidth="1"/>
    <col min="4896" max="4896" width="11.5703125" style="167" customWidth="1"/>
    <col min="4897" max="4897" width="0" style="167" hidden="1" customWidth="1"/>
    <col min="4898" max="4898" width="8" style="167" customWidth="1"/>
    <col min="4899" max="4899" width="7.28515625" style="167" customWidth="1"/>
    <col min="4900" max="4900" width="18.7109375" style="167" customWidth="1"/>
    <col min="4901" max="4901" width="14.140625" style="167" customWidth="1"/>
    <col min="4902" max="4902" width="11.7109375" style="167" bestFit="1" customWidth="1"/>
    <col min="4903" max="4903" width="10.140625" style="167" bestFit="1" customWidth="1"/>
    <col min="4904" max="5120" width="9" style="167"/>
    <col min="5121" max="5121" width="4.7109375" style="167" customWidth="1"/>
    <col min="5122" max="5122" width="8.140625" style="167" customWidth="1"/>
    <col min="5123" max="5123" width="16" style="167" customWidth="1"/>
    <col min="5124" max="5124" width="13.28515625" style="167" customWidth="1"/>
    <col min="5125" max="5125" width="87.7109375" style="167" customWidth="1"/>
    <col min="5126" max="5126" width="8.28515625" style="167" customWidth="1"/>
    <col min="5127" max="5127" width="0" style="167" hidden="1" customWidth="1"/>
    <col min="5128" max="5128" width="11.5703125" style="167" customWidth="1"/>
    <col min="5129" max="5129" width="11.42578125" style="167" customWidth="1"/>
    <col min="5130" max="5130" width="14.5703125" style="167" customWidth="1"/>
    <col min="5131" max="5131" width="13.5703125" style="167" customWidth="1"/>
    <col min="5132" max="5132" width="14.85546875" style="167" customWidth="1"/>
    <col min="5133" max="5133" width="0" style="167" hidden="1" customWidth="1"/>
    <col min="5134" max="5134" width="14.5703125" style="167" customWidth="1"/>
    <col min="5135" max="5135" width="12.140625" style="167" customWidth="1"/>
    <col min="5136" max="5136" width="13.85546875" style="167" customWidth="1"/>
    <col min="5137" max="5137" width="15.28515625" style="167" customWidth="1"/>
    <col min="5138" max="5138" width="11.7109375" style="167" customWidth="1"/>
    <col min="5139" max="5139" width="8.85546875" style="167" customWidth="1"/>
    <col min="5140" max="5140" width="12" style="167" customWidth="1"/>
    <col min="5141" max="5146" width="0" style="167" hidden="1" customWidth="1"/>
    <col min="5147" max="5147" width="9.42578125" style="167" customWidth="1"/>
    <col min="5148" max="5148" width="12.140625" style="167" customWidth="1"/>
    <col min="5149" max="5149" width="11.42578125" style="167" customWidth="1"/>
    <col min="5150" max="5150" width="11.28515625" style="167" bestFit="1" customWidth="1"/>
    <col min="5151" max="5151" width="10.85546875" style="167" customWidth="1"/>
    <col min="5152" max="5152" width="11.5703125" style="167" customWidth="1"/>
    <col min="5153" max="5153" width="0" style="167" hidden="1" customWidth="1"/>
    <col min="5154" max="5154" width="8" style="167" customWidth="1"/>
    <col min="5155" max="5155" width="7.28515625" style="167" customWidth="1"/>
    <col min="5156" max="5156" width="18.7109375" style="167" customWidth="1"/>
    <col min="5157" max="5157" width="14.140625" style="167" customWidth="1"/>
    <col min="5158" max="5158" width="11.7109375" style="167" bestFit="1" customWidth="1"/>
    <col min="5159" max="5159" width="10.140625" style="167" bestFit="1" customWidth="1"/>
    <col min="5160" max="5376" width="9" style="167"/>
    <col min="5377" max="5377" width="4.7109375" style="167" customWidth="1"/>
    <col min="5378" max="5378" width="8.140625" style="167" customWidth="1"/>
    <col min="5379" max="5379" width="16" style="167" customWidth="1"/>
    <col min="5380" max="5380" width="13.28515625" style="167" customWidth="1"/>
    <col min="5381" max="5381" width="87.7109375" style="167" customWidth="1"/>
    <col min="5382" max="5382" width="8.28515625" style="167" customWidth="1"/>
    <col min="5383" max="5383" width="0" style="167" hidden="1" customWidth="1"/>
    <col min="5384" max="5384" width="11.5703125" style="167" customWidth="1"/>
    <col min="5385" max="5385" width="11.42578125" style="167" customWidth="1"/>
    <col min="5386" max="5386" width="14.5703125" style="167" customWidth="1"/>
    <col min="5387" max="5387" width="13.5703125" style="167" customWidth="1"/>
    <col min="5388" max="5388" width="14.85546875" style="167" customWidth="1"/>
    <col min="5389" max="5389" width="0" style="167" hidden="1" customWidth="1"/>
    <col min="5390" max="5390" width="14.5703125" style="167" customWidth="1"/>
    <col min="5391" max="5391" width="12.140625" style="167" customWidth="1"/>
    <col min="5392" max="5392" width="13.85546875" style="167" customWidth="1"/>
    <col min="5393" max="5393" width="15.28515625" style="167" customWidth="1"/>
    <col min="5394" max="5394" width="11.7109375" style="167" customWidth="1"/>
    <col min="5395" max="5395" width="8.85546875" style="167" customWidth="1"/>
    <col min="5396" max="5396" width="12" style="167" customWidth="1"/>
    <col min="5397" max="5402" width="0" style="167" hidden="1" customWidth="1"/>
    <col min="5403" max="5403" width="9.42578125" style="167" customWidth="1"/>
    <col min="5404" max="5404" width="12.140625" style="167" customWidth="1"/>
    <col min="5405" max="5405" width="11.42578125" style="167" customWidth="1"/>
    <col min="5406" max="5406" width="11.28515625" style="167" bestFit="1" customWidth="1"/>
    <col min="5407" max="5407" width="10.85546875" style="167" customWidth="1"/>
    <col min="5408" max="5408" width="11.5703125" style="167" customWidth="1"/>
    <col min="5409" max="5409" width="0" style="167" hidden="1" customWidth="1"/>
    <col min="5410" max="5410" width="8" style="167" customWidth="1"/>
    <col min="5411" max="5411" width="7.28515625" style="167" customWidth="1"/>
    <col min="5412" max="5412" width="18.7109375" style="167" customWidth="1"/>
    <col min="5413" max="5413" width="14.140625" style="167" customWidth="1"/>
    <col min="5414" max="5414" width="11.7109375" style="167" bestFit="1" customWidth="1"/>
    <col min="5415" max="5415" width="10.140625" style="167" bestFit="1" customWidth="1"/>
    <col min="5416" max="5632" width="9" style="167"/>
    <col min="5633" max="5633" width="4.7109375" style="167" customWidth="1"/>
    <col min="5634" max="5634" width="8.140625" style="167" customWidth="1"/>
    <col min="5635" max="5635" width="16" style="167" customWidth="1"/>
    <col min="5636" max="5636" width="13.28515625" style="167" customWidth="1"/>
    <col min="5637" max="5637" width="87.7109375" style="167" customWidth="1"/>
    <col min="5638" max="5638" width="8.28515625" style="167" customWidth="1"/>
    <col min="5639" max="5639" width="0" style="167" hidden="1" customWidth="1"/>
    <col min="5640" max="5640" width="11.5703125" style="167" customWidth="1"/>
    <col min="5641" max="5641" width="11.42578125" style="167" customWidth="1"/>
    <col min="5642" max="5642" width="14.5703125" style="167" customWidth="1"/>
    <col min="5643" max="5643" width="13.5703125" style="167" customWidth="1"/>
    <col min="5644" max="5644" width="14.85546875" style="167" customWidth="1"/>
    <col min="5645" max="5645" width="0" style="167" hidden="1" customWidth="1"/>
    <col min="5646" max="5646" width="14.5703125" style="167" customWidth="1"/>
    <col min="5647" max="5647" width="12.140625" style="167" customWidth="1"/>
    <col min="5648" max="5648" width="13.85546875" style="167" customWidth="1"/>
    <col min="5649" max="5649" width="15.28515625" style="167" customWidth="1"/>
    <col min="5650" max="5650" width="11.7109375" style="167" customWidth="1"/>
    <col min="5651" max="5651" width="8.85546875" style="167" customWidth="1"/>
    <col min="5652" max="5652" width="12" style="167" customWidth="1"/>
    <col min="5653" max="5658" width="0" style="167" hidden="1" customWidth="1"/>
    <col min="5659" max="5659" width="9.42578125" style="167" customWidth="1"/>
    <col min="5660" max="5660" width="12.140625" style="167" customWidth="1"/>
    <col min="5661" max="5661" width="11.42578125" style="167" customWidth="1"/>
    <col min="5662" max="5662" width="11.28515625" style="167" bestFit="1" customWidth="1"/>
    <col min="5663" max="5663" width="10.85546875" style="167" customWidth="1"/>
    <col min="5664" max="5664" width="11.5703125" style="167" customWidth="1"/>
    <col min="5665" max="5665" width="0" style="167" hidden="1" customWidth="1"/>
    <col min="5666" max="5666" width="8" style="167" customWidth="1"/>
    <col min="5667" max="5667" width="7.28515625" style="167" customWidth="1"/>
    <col min="5668" max="5668" width="18.7109375" style="167" customWidth="1"/>
    <col min="5669" max="5669" width="14.140625" style="167" customWidth="1"/>
    <col min="5670" max="5670" width="11.7109375" style="167" bestFit="1" customWidth="1"/>
    <col min="5671" max="5671" width="10.140625" style="167" bestFit="1" customWidth="1"/>
    <col min="5672" max="5888" width="9" style="167"/>
    <col min="5889" max="5889" width="4.7109375" style="167" customWidth="1"/>
    <col min="5890" max="5890" width="8.140625" style="167" customWidth="1"/>
    <col min="5891" max="5891" width="16" style="167" customWidth="1"/>
    <col min="5892" max="5892" width="13.28515625" style="167" customWidth="1"/>
    <col min="5893" max="5893" width="87.7109375" style="167" customWidth="1"/>
    <col min="5894" max="5894" width="8.28515625" style="167" customWidth="1"/>
    <col min="5895" max="5895" width="0" style="167" hidden="1" customWidth="1"/>
    <col min="5896" max="5896" width="11.5703125" style="167" customWidth="1"/>
    <col min="5897" max="5897" width="11.42578125" style="167" customWidth="1"/>
    <col min="5898" max="5898" width="14.5703125" style="167" customWidth="1"/>
    <col min="5899" max="5899" width="13.5703125" style="167" customWidth="1"/>
    <col min="5900" max="5900" width="14.85546875" style="167" customWidth="1"/>
    <col min="5901" max="5901" width="0" style="167" hidden="1" customWidth="1"/>
    <col min="5902" max="5902" width="14.5703125" style="167" customWidth="1"/>
    <col min="5903" max="5903" width="12.140625" style="167" customWidth="1"/>
    <col min="5904" max="5904" width="13.85546875" style="167" customWidth="1"/>
    <col min="5905" max="5905" width="15.28515625" style="167" customWidth="1"/>
    <col min="5906" max="5906" width="11.7109375" style="167" customWidth="1"/>
    <col min="5907" max="5907" width="8.85546875" style="167" customWidth="1"/>
    <col min="5908" max="5908" width="12" style="167" customWidth="1"/>
    <col min="5909" max="5914" width="0" style="167" hidden="1" customWidth="1"/>
    <col min="5915" max="5915" width="9.42578125" style="167" customWidth="1"/>
    <col min="5916" max="5916" width="12.140625" style="167" customWidth="1"/>
    <col min="5917" max="5917" width="11.42578125" style="167" customWidth="1"/>
    <col min="5918" max="5918" width="11.28515625" style="167" bestFit="1" customWidth="1"/>
    <col min="5919" max="5919" width="10.85546875" style="167" customWidth="1"/>
    <col min="5920" max="5920" width="11.5703125" style="167" customWidth="1"/>
    <col min="5921" max="5921" width="0" style="167" hidden="1" customWidth="1"/>
    <col min="5922" max="5922" width="8" style="167" customWidth="1"/>
    <col min="5923" max="5923" width="7.28515625" style="167" customWidth="1"/>
    <col min="5924" max="5924" width="18.7109375" style="167" customWidth="1"/>
    <col min="5925" max="5925" width="14.140625" style="167" customWidth="1"/>
    <col min="5926" max="5926" width="11.7109375" style="167" bestFit="1" customWidth="1"/>
    <col min="5927" max="5927" width="10.140625" style="167" bestFit="1" customWidth="1"/>
    <col min="5928" max="6144" width="9" style="167"/>
    <col min="6145" max="6145" width="4.7109375" style="167" customWidth="1"/>
    <col min="6146" max="6146" width="8.140625" style="167" customWidth="1"/>
    <col min="6147" max="6147" width="16" style="167" customWidth="1"/>
    <col min="6148" max="6148" width="13.28515625" style="167" customWidth="1"/>
    <col min="6149" max="6149" width="87.7109375" style="167" customWidth="1"/>
    <col min="6150" max="6150" width="8.28515625" style="167" customWidth="1"/>
    <col min="6151" max="6151" width="0" style="167" hidden="1" customWidth="1"/>
    <col min="6152" max="6152" width="11.5703125" style="167" customWidth="1"/>
    <col min="6153" max="6153" width="11.42578125" style="167" customWidth="1"/>
    <col min="6154" max="6154" width="14.5703125" style="167" customWidth="1"/>
    <col min="6155" max="6155" width="13.5703125" style="167" customWidth="1"/>
    <col min="6156" max="6156" width="14.85546875" style="167" customWidth="1"/>
    <col min="6157" max="6157" width="0" style="167" hidden="1" customWidth="1"/>
    <col min="6158" max="6158" width="14.5703125" style="167" customWidth="1"/>
    <col min="6159" max="6159" width="12.140625" style="167" customWidth="1"/>
    <col min="6160" max="6160" width="13.85546875" style="167" customWidth="1"/>
    <col min="6161" max="6161" width="15.28515625" style="167" customWidth="1"/>
    <col min="6162" max="6162" width="11.7109375" style="167" customWidth="1"/>
    <col min="6163" max="6163" width="8.85546875" style="167" customWidth="1"/>
    <col min="6164" max="6164" width="12" style="167" customWidth="1"/>
    <col min="6165" max="6170" width="0" style="167" hidden="1" customWidth="1"/>
    <col min="6171" max="6171" width="9.42578125" style="167" customWidth="1"/>
    <col min="6172" max="6172" width="12.140625" style="167" customWidth="1"/>
    <col min="6173" max="6173" width="11.42578125" style="167" customWidth="1"/>
    <col min="6174" max="6174" width="11.28515625" style="167" bestFit="1" customWidth="1"/>
    <col min="6175" max="6175" width="10.85546875" style="167" customWidth="1"/>
    <col min="6176" max="6176" width="11.5703125" style="167" customWidth="1"/>
    <col min="6177" max="6177" width="0" style="167" hidden="1" customWidth="1"/>
    <col min="6178" max="6178" width="8" style="167" customWidth="1"/>
    <col min="6179" max="6179" width="7.28515625" style="167" customWidth="1"/>
    <col min="6180" max="6180" width="18.7109375" style="167" customWidth="1"/>
    <col min="6181" max="6181" width="14.140625" style="167" customWidth="1"/>
    <col min="6182" max="6182" width="11.7109375" style="167" bestFit="1" customWidth="1"/>
    <col min="6183" max="6183" width="10.140625" style="167" bestFit="1" customWidth="1"/>
    <col min="6184" max="6400" width="9" style="167"/>
    <col min="6401" max="6401" width="4.7109375" style="167" customWidth="1"/>
    <col min="6402" max="6402" width="8.140625" style="167" customWidth="1"/>
    <col min="6403" max="6403" width="16" style="167" customWidth="1"/>
    <col min="6404" max="6404" width="13.28515625" style="167" customWidth="1"/>
    <col min="6405" max="6405" width="87.7109375" style="167" customWidth="1"/>
    <col min="6406" max="6406" width="8.28515625" style="167" customWidth="1"/>
    <col min="6407" max="6407" width="0" style="167" hidden="1" customWidth="1"/>
    <col min="6408" max="6408" width="11.5703125" style="167" customWidth="1"/>
    <col min="6409" max="6409" width="11.42578125" style="167" customWidth="1"/>
    <col min="6410" max="6410" width="14.5703125" style="167" customWidth="1"/>
    <col min="6411" max="6411" width="13.5703125" style="167" customWidth="1"/>
    <col min="6412" max="6412" width="14.85546875" style="167" customWidth="1"/>
    <col min="6413" max="6413" width="0" style="167" hidden="1" customWidth="1"/>
    <col min="6414" max="6414" width="14.5703125" style="167" customWidth="1"/>
    <col min="6415" max="6415" width="12.140625" style="167" customWidth="1"/>
    <col min="6416" max="6416" width="13.85546875" style="167" customWidth="1"/>
    <col min="6417" max="6417" width="15.28515625" style="167" customWidth="1"/>
    <col min="6418" max="6418" width="11.7109375" style="167" customWidth="1"/>
    <col min="6419" max="6419" width="8.85546875" style="167" customWidth="1"/>
    <col min="6420" max="6420" width="12" style="167" customWidth="1"/>
    <col min="6421" max="6426" width="0" style="167" hidden="1" customWidth="1"/>
    <col min="6427" max="6427" width="9.42578125" style="167" customWidth="1"/>
    <col min="6428" max="6428" width="12.140625" style="167" customWidth="1"/>
    <col min="6429" max="6429" width="11.42578125" style="167" customWidth="1"/>
    <col min="6430" max="6430" width="11.28515625" style="167" bestFit="1" customWidth="1"/>
    <col min="6431" max="6431" width="10.85546875" style="167" customWidth="1"/>
    <col min="6432" max="6432" width="11.5703125" style="167" customWidth="1"/>
    <col min="6433" max="6433" width="0" style="167" hidden="1" customWidth="1"/>
    <col min="6434" max="6434" width="8" style="167" customWidth="1"/>
    <col min="6435" max="6435" width="7.28515625" style="167" customWidth="1"/>
    <col min="6436" max="6436" width="18.7109375" style="167" customWidth="1"/>
    <col min="6437" max="6437" width="14.140625" style="167" customWidth="1"/>
    <col min="6438" max="6438" width="11.7109375" style="167" bestFit="1" customWidth="1"/>
    <col min="6439" max="6439" width="10.140625" style="167" bestFit="1" customWidth="1"/>
    <col min="6440" max="6656" width="9" style="167"/>
    <col min="6657" max="6657" width="4.7109375" style="167" customWidth="1"/>
    <col min="6658" max="6658" width="8.140625" style="167" customWidth="1"/>
    <col min="6659" max="6659" width="16" style="167" customWidth="1"/>
    <col min="6660" max="6660" width="13.28515625" style="167" customWidth="1"/>
    <col min="6661" max="6661" width="87.7109375" style="167" customWidth="1"/>
    <col min="6662" max="6662" width="8.28515625" style="167" customWidth="1"/>
    <col min="6663" max="6663" width="0" style="167" hidden="1" customWidth="1"/>
    <col min="6664" max="6664" width="11.5703125" style="167" customWidth="1"/>
    <col min="6665" max="6665" width="11.42578125" style="167" customWidth="1"/>
    <col min="6666" max="6666" width="14.5703125" style="167" customWidth="1"/>
    <col min="6667" max="6667" width="13.5703125" style="167" customWidth="1"/>
    <col min="6668" max="6668" width="14.85546875" style="167" customWidth="1"/>
    <col min="6669" max="6669" width="0" style="167" hidden="1" customWidth="1"/>
    <col min="6670" max="6670" width="14.5703125" style="167" customWidth="1"/>
    <col min="6671" max="6671" width="12.140625" style="167" customWidth="1"/>
    <col min="6672" max="6672" width="13.85546875" style="167" customWidth="1"/>
    <col min="6673" max="6673" width="15.28515625" style="167" customWidth="1"/>
    <col min="6674" max="6674" width="11.7109375" style="167" customWidth="1"/>
    <col min="6675" max="6675" width="8.85546875" style="167" customWidth="1"/>
    <col min="6676" max="6676" width="12" style="167" customWidth="1"/>
    <col min="6677" max="6682" width="0" style="167" hidden="1" customWidth="1"/>
    <col min="6683" max="6683" width="9.42578125" style="167" customWidth="1"/>
    <col min="6684" max="6684" width="12.140625" style="167" customWidth="1"/>
    <col min="6685" max="6685" width="11.42578125" style="167" customWidth="1"/>
    <col min="6686" max="6686" width="11.28515625" style="167" bestFit="1" customWidth="1"/>
    <col min="6687" max="6687" width="10.85546875" style="167" customWidth="1"/>
    <col min="6688" max="6688" width="11.5703125" style="167" customWidth="1"/>
    <col min="6689" max="6689" width="0" style="167" hidden="1" customWidth="1"/>
    <col min="6690" max="6690" width="8" style="167" customWidth="1"/>
    <col min="6691" max="6691" width="7.28515625" style="167" customWidth="1"/>
    <col min="6692" max="6692" width="18.7109375" style="167" customWidth="1"/>
    <col min="6693" max="6693" width="14.140625" style="167" customWidth="1"/>
    <col min="6694" max="6694" width="11.7109375" style="167" bestFit="1" customWidth="1"/>
    <col min="6695" max="6695" width="10.140625" style="167" bestFit="1" customWidth="1"/>
    <col min="6696" max="6912" width="9" style="167"/>
    <col min="6913" max="6913" width="4.7109375" style="167" customWidth="1"/>
    <col min="6914" max="6914" width="8.140625" style="167" customWidth="1"/>
    <col min="6915" max="6915" width="16" style="167" customWidth="1"/>
    <col min="6916" max="6916" width="13.28515625" style="167" customWidth="1"/>
    <col min="6917" max="6917" width="87.7109375" style="167" customWidth="1"/>
    <col min="6918" max="6918" width="8.28515625" style="167" customWidth="1"/>
    <col min="6919" max="6919" width="0" style="167" hidden="1" customWidth="1"/>
    <col min="6920" max="6920" width="11.5703125" style="167" customWidth="1"/>
    <col min="6921" max="6921" width="11.42578125" style="167" customWidth="1"/>
    <col min="6922" max="6922" width="14.5703125" style="167" customWidth="1"/>
    <col min="6923" max="6923" width="13.5703125" style="167" customWidth="1"/>
    <col min="6924" max="6924" width="14.85546875" style="167" customWidth="1"/>
    <col min="6925" max="6925" width="0" style="167" hidden="1" customWidth="1"/>
    <col min="6926" max="6926" width="14.5703125" style="167" customWidth="1"/>
    <col min="6927" max="6927" width="12.140625" style="167" customWidth="1"/>
    <col min="6928" max="6928" width="13.85546875" style="167" customWidth="1"/>
    <col min="6929" max="6929" width="15.28515625" style="167" customWidth="1"/>
    <col min="6930" max="6930" width="11.7109375" style="167" customWidth="1"/>
    <col min="6931" max="6931" width="8.85546875" style="167" customWidth="1"/>
    <col min="6932" max="6932" width="12" style="167" customWidth="1"/>
    <col min="6933" max="6938" width="0" style="167" hidden="1" customWidth="1"/>
    <col min="6939" max="6939" width="9.42578125" style="167" customWidth="1"/>
    <col min="6940" max="6940" width="12.140625" style="167" customWidth="1"/>
    <col min="6941" max="6941" width="11.42578125" style="167" customWidth="1"/>
    <col min="6942" max="6942" width="11.28515625" style="167" bestFit="1" customWidth="1"/>
    <col min="6943" max="6943" width="10.85546875" style="167" customWidth="1"/>
    <col min="6944" max="6944" width="11.5703125" style="167" customWidth="1"/>
    <col min="6945" max="6945" width="0" style="167" hidden="1" customWidth="1"/>
    <col min="6946" max="6946" width="8" style="167" customWidth="1"/>
    <col min="6947" max="6947" width="7.28515625" style="167" customWidth="1"/>
    <col min="6948" max="6948" width="18.7109375" style="167" customWidth="1"/>
    <col min="6949" max="6949" width="14.140625" style="167" customWidth="1"/>
    <col min="6950" max="6950" width="11.7109375" style="167" bestFit="1" customWidth="1"/>
    <col min="6951" max="6951" width="10.140625" style="167" bestFit="1" customWidth="1"/>
    <col min="6952" max="7168" width="9" style="167"/>
    <col min="7169" max="7169" width="4.7109375" style="167" customWidth="1"/>
    <col min="7170" max="7170" width="8.140625" style="167" customWidth="1"/>
    <col min="7171" max="7171" width="16" style="167" customWidth="1"/>
    <col min="7172" max="7172" width="13.28515625" style="167" customWidth="1"/>
    <col min="7173" max="7173" width="87.7109375" style="167" customWidth="1"/>
    <col min="7174" max="7174" width="8.28515625" style="167" customWidth="1"/>
    <col min="7175" max="7175" width="0" style="167" hidden="1" customWidth="1"/>
    <col min="7176" max="7176" width="11.5703125" style="167" customWidth="1"/>
    <col min="7177" max="7177" width="11.42578125" style="167" customWidth="1"/>
    <col min="7178" max="7178" width="14.5703125" style="167" customWidth="1"/>
    <col min="7179" max="7179" width="13.5703125" style="167" customWidth="1"/>
    <col min="7180" max="7180" width="14.85546875" style="167" customWidth="1"/>
    <col min="7181" max="7181" width="0" style="167" hidden="1" customWidth="1"/>
    <col min="7182" max="7182" width="14.5703125" style="167" customWidth="1"/>
    <col min="7183" max="7183" width="12.140625" style="167" customWidth="1"/>
    <col min="7184" max="7184" width="13.85546875" style="167" customWidth="1"/>
    <col min="7185" max="7185" width="15.28515625" style="167" customWidth="1"/>
    <col min="7186" max="7186" width="11.7109375" style="167" customWidth="1"/>
    <col min="7187" max="7187" width="8.85546875" style="167" customWidth="1"/>
    <col min="7188" max="7188" width="12" style="167" customWidth="1"/>
    <col min="7189" max="7194" width="0" style="167" hidden="1" customWidth="1"/>
    <col min="7195" max="7195" width="9.42578125" style="167" customWidth="1"/>
    <col min="7196" max="7196" width="12.140625" style="167" customWidth="1"/>
    <col min="7197" max="7197" width="11.42578125" style="167" customWidth="1"/>
    <col min="7198" max="7198" width="11.28515625" style="167" bestFit="1" customWidth="1"/>
    <col min="7199" max="7199" width="10.85546875" style="167" customWidth="1"/>
    <col min="7200" max="7200" width="11.5703125" style="167" customWidth="1"/>
    <col min="7201" max="7201" width="0" style="167" hidden="1" customWidth="1"/>
    <col min="7202" max="7202" width="8" style="167" customWidth="1"/>
    <col min="7203" max="7203" width="7.28515625" style="167" customWidth="1"/>
    <col min="7204" max="7204" width="18.7109375" style="167" customWidth="1"/>
    <col min="7205" max="7205" width="14.140625" style="167" customWidth="1"/>
    <col min="7206" max="7206" width="11.7109375" style="167" bestFit="1" customWidth="1"/>
    <col min="7207" max="7207" width="10.140625" style="167" bestFit="1" customWidth="1"/>
    <col min="7208" max="7424" width="9" style="167"/>
    <col min="7425" max="7425" width="4.7109375" style="167" customWidth="1"/>
    <col min="7426" max="7426" width="8.140625" style="167" customWidth="1"/>
    <col min="7427" max="7427" width="16" style="167" customWidth="1"/>
    <col min="7428" max="7428" width="13.28515625" style="167" customWidth="1"/>
    <col min="7429" max="7429" width="87.7109375" style="167" customWidth="1"/>
    <col min="7430" max="7430" width="8.28515625" style="167" customWidth="1"/>
    <col min="7431" max="7431" width="0" style="167" hidden="1" customWidth="1"/>
    <col min="7432" max="7432" width="11.5703125" style="167" customWidth="1"/>
    <col min="7433" max="7433" width="11.42578125" style="167" customWidth="1"/>
    <col min="7434" max="7434" width="14.5703125" style="167" customWidth="1"/>
    <col min="7435" max="7435" width="13.5703125" style="167" customWidth="1"/>
    <col min="7436" max="7436" width="14.85546875" style="167" customWidth="1"/>
    <col min="7437" max="7437" width="0" style="167" hidden="1" customWidth="1"/>
    <col min="7438" max="7438" width="14.5703125" style="167" customWidth="1"/>
    <col min="7439" max="7439" width="12.140625" style="167" customWidth="1"/>
    <col min="7440" max="7440" width="13.85546875" style="167" customWidth="1"/>
    <col min="7441" max="7441" width="15.28515625" style="167" customWidth="1"/>
    <col min="7442" max="7442" width="11.7109375" style="167" customWidth="1"/>
    <col min="7443" max="7443" width="8.85546875" style="167" customWidth="1"/>
    <col min="7444" max="7444" width="12" style="167" customWidth="1"/>
    <col min="7445" max="7450" width="0" style="167" hidden="1" customWidth="1"/>
    <col min="7451" max="7451" width="9.42578125" style="167" customWidth="1"/>
    <col min="7452" max="7452" width="12.140625" style="167" customWidth="1"/>
    <col min="7453" max="7453" width="11.42578125" style="167" customWidth="1"/>
    <col min="7454" max="7454" width="11.28515625" style="167" bestFit="1" customWidth="1"/>
    <col min="7455" max="7455" width="10.85546875" style="167" customWidth="1"/>
    <col min="7456" max="7456" width="11.5703125" style="167" customWidth="1"/>
    <col min="7457" max="7457" width="0" style="167" hidden="1" customWidth="1"/>
    <col min="7458" max="7458" width="8" style="167" customWidth="1"/>
    <col min="7459" max="7459" width="7.28515625" style="167" customWidth="1"/>
    <col min="7460" max="7460" width="18.7109375" style="167" customWidth="1"/>
    <col min="7461" max="7461" width="14.140625" style="167" customWidth="1"/>
    <col min="7462" max="7462" width="11.7109375" style="167" bestFit="1" customWidth="1"/>
    <col min="7463" max="7463" width="10.140625" style="167" bestFit="1" customWidth="1"/>
    <col min="7464" max="7680" width="9" style="167"/>
    <col min="7681" max="7681" width="4.7109375" style="167" customWidth="1"/>
    <col min="7682" max="7682" width="8.140625" style="167" customWidth="1"/>
    <col min="7683" max="7683" width="16" style="167" customWidth="1"/>
    <col min="7684" max="7684" width="13.28515625" style="167" customWidth="1"/>
    <col min="7685" max="7685" width="87.7109375" style="167" customWidth="1"/>
    <col min="7686" max="7686" width="8.28515625" style="167" customWidth="1"/>
    <col min="7687" max="7687" width="0" style="167" hidden="1" customWidth="1"/>
    <col min="7688" max="7688" width="11.5703125" style="167" customWidth="1"/>
    <col min="7689" max="7689" width="11.42578125" style="167" customWidth="1"/>
    <col min="7690" max="7690" width="14.5703125" style="167" customWidth="1"/>
    <col min="7691" max="7691" width="13.5703125" style="167" customWidth="1"/>
    <col min="7692" max="7692" width="14.85546875" style="167" customWidth="1"/>
    <col min="7693" max="7693" width="0" style="167" hidden="1" customWidth="1"/>
    <col min="7694" max="7694" width="14.5703125" style="167" customWidth="1"/>
    <col min="7695" max="7695" width="12.140625" style="167" customWidth="1"/>
    <col min="7696" max="7696" width="13.85546875" style="167" customWidth="1"/>
    <col min="7697" max="7697" width="15.28515625" style="167" customWidth="1"/>
    <col min="7698" max="7698" width="11.7109375" style="167" customWidth="1"/>
    <col min="7699" max="7699" width="8.85546875" style="167" customWidth="1"/>
    <col min="7700" max="7700" width="12" style="167" customWidth="1"/>
    <col min="7701" max="7706" width="0" style="167" hidden="1" customWidth="1"/>
    <col min="7707" max="7707" width="9.42578125" style="167" customWidth="1"/>
    <col min="7708" max="7708" width="12.140625" style="167" customWidth="1"/>
    <col min="7709" max="7709" width="11.42578125" style="167" customWidth="1"/>
    <col min="7710" max="7710" width="11.28515625" style="167" bestFit="1" customWidth="1"/>
    <col min="7711" max="7711" width="10.85546875" style="167" customWidth="1"/>
    <col min="7712" max="7712" width="11.5703125" style="167" customWidth="1"/>
    <col min="7713" max="7713" width="0" style="167" hidden="1" customWidth="1"/>
    <col min="7714" max="7714" width="8" style="167" customWidth="1"/>
    <col min="7715" max="7715" width="7.28515625" style="167" customWidth="1"/>
    <col min="7716" max="7716" width="18.7109375" style="167" customWidth="1"/>
    <col min="7717" max="7717" width="14.140625" style="167" customWidth="1"/>
    <col min="7718" max="7718" width="11.7109375" style="167" bestFit="1" customWidth="1"/>
    <col min="7719" max="7719" width="10.140625" style="167" bestFit="1" customWidth="1"/>
    <col min="7720" max="7936" width="9" style="167"/>
    <col min="7937" max="7937" width="4.7109375" style="167" customWidth="1"/>
    <col min="7938" max="7938" width="8.140625" style="167" customWidth="1"/>
    <col min="7939" max="7939" width="16" style="167" customWidth="1"/>
    <col min="7940" max="7940" width="13.28515625" style="167" customWidth="1"/>
    <col min="7941" max="7941" width="87.7109375" style="167" customWidth="1"/>
    <col min="7942" max="7942" width="8.28515625" style="167" customWidth="1"/>
    <col min="7943" max="7943" width="0" style="167" hidden="1" customWidth="1"/>
    <col min="7944" max="7944" width="11.5703125" style="167" customWidth="1"/>
    <col min="7945" max="7945" width="11.42578125" style="167" customWidth="1"/>
    <col min="7946" max="7946" width="14.5703125" style="167" customWidth="1"/>
    <col min="7947" max="7947" width="13.5703125" style="167" customWidth="1"/>
    <col min="7948" max="7948" width="14.85546875" style="167" customWidth="1"/>
    <col min="7949" max="7949" width="0" style="167" hidden="1" customWidth="1"/>
    <col min="7950" max="7950" width="14.5703125" style="167" customWidth="1"/>
    <col min="7951" max="7951" width="12.140625" style="167" customWidth="1"/>
    <col min="7952" max="7952" width="13.85546875" style="167" customWidth="1"/>
    <col min="7953" max="7953" width="15.28515625" style="167" customWidth="1"/>
    <col min="7954" max="7954" width="11.7109375" style="167" customWidth="1"/>
    <col min="7955" max="7955" width="8.85546875" style="167" customWidth="1"/>
    <col min="7956" max="7956" width="12" style="167" customWidth="1"/>
    <col min="7957" max="7962" width="0" style="167" hidden="1" customWidth="1"/>
    <col min="7963" max="7963" width="9.42578125" style="167" customWidth="1"/>
    <col min="7964" max="7964" width="12.140625" style="167" customWidth="1"/>
    <col min="7965" max="7965" width="11.42578125" style="167" customWidth="1"/>
    <col min="7966" max="7966" width="11.28515625" style="167" bestFit="1" customWidth="1"/>
    <col min="7967" max="7967" width="10.85546875" style="167" customWidth="1"/>
    <col min="7968" max="7968" width="11.5703125" style="167" customWidth="1"/>
    <col min="7969" max="7969" width="0" style="167" hidden="1" customWidth="1"/>
    <col min="7970" max="7970" width="8" style="167" customWidth="1"/>
    <col min="7971" max="7971" width="7.28515625" style="167" customWidth="1"/>
    <col min="7972" max="7972" width="18.7109375" style="167" customWidth="1"/>
    <col min="7973" max="7973" width="14.140625" style="167" customWidth="1"/>
    <col min="7974" max="7974" width="11.7109375" style="167" bestFit="1" customWidth="1"/>
    <col min="7975" max="7975" width="10.140625" style="167" bestFit="1" customWidth="1"/>
    <col min="7976" max="8192" width="9" style="167"/>
    <col min="8193" max="8193" width="4.7109375" style="167" customWidth="1"/>
    <col min="8194" max="8194" width="8.140625" style="167" customWidth="1"/>
    <col min="8195" max="8195" width="16" style="167" customWidth="1"/>
    <col min="8196" max="8196" width="13.28515625" style="167" customWidth="1"/>
    <col min="8197" max="8197" width="87.7109375" style="167" customWidth="1"/>
    <col min="8198" max="8198" width="8.28515625" style="167" customWidth="1"/>
    <col min="8199" max="8199" width="0" style="167" hidden="1" customWidth="1"/>
    <col min="8200" max="8200" width="11.5703125" style="167" customWidth="1"/>
    <col min="8201" max="8201" width="11.42578125" style="167" customWidth="1"/>
    <col min="8202" max="8202" width="14.5703125" style="167" customWidth="1"/>
    <col min="8203" max="8203" width="13.5703125" style="167" customWidth="1"/>
    <col min="8204" max="8204" width="14.85546875" style="167" customWidth="1"/>
    <col min="8205" max="8205" width="0" style="167" hidden="1" customWidth="1"/>
    <col min="8206" max="8206" width="14.5703125" style="167" customWidth="1"/>
    <col min="8207" max="8207" width="12.140625" style="167" customWidth="1"/>
    <col min="8208" max="8208" width="13.85546875" style="167" customWidth="1"/>
    <col min="8209" max="8209" width="15.28515625" style="167" customWidth="1"/>
    <col min="8210" max="8210" width="11.7109375" style="167" customWidth="1"/>
    <col min="8211" max="8211" width="8.85546875" style="167" customWidth="1"/>
    <col min="8212" max="8212" width="12" style="167" customWidth="1"/>
    <col min="8213" max="8218" width="0" style="167" hidden="1" customWidth="1"/>
    <col min="8219" max="8219" width="9.42578125" style="167" customWidth="1"/>
    <col min="8220" max="8220" width="12.140625" style="167" customWidth="1"/>
    <col min="8221" max="8221" width="11.42578125" style="167" customWidth="1"/>
    <col min="8222" max="8222" width="11.28515625" style="167" bestFit="1" customWidth="1"/>
    <col min="8223" max="8223" width="10.85546875" style="167" customWidth="1"/>
    <col min="8224" max="8224" width="11.5703125" style="167" customWidth="1"/>
    <col min="8225" max="8225" width="0" style="167" hidden="1" customWidth="1"/>
    <col min="8226" max="8226" width="8" style="167" customWidth="1"/>
    <col min="8227" max="8227" width="7.28515625" style="167" customWidth="1"/>
    <col min="8228" max="8228" width="18.7109375" style="167" customWidth="1"/>
    <col min="8229" max="8229" width="14.140625" style="167" customWidth="1"/>
    <col min="8230" max="8230" width="11.7109375" style="167" bestFit="1" customWidth="1"/>
    <col min="8231" max="8231" width="10.140625" style="167" bestFit="1" customWidth="1"/>
    <col min="8232" max="8448" width="9" style="167"/>
    <col min="8449" max="8449" width="4.7109375" style="167" customWidth="1"/>
    <col min="8450" max="8450" width="8.140625" style="167" customWidth="1"/>
    <col min="8451" max="8451" width="16" style="167" customWidth="1"/>
    <col min="8452" max="8452" width="13.28515625" style="167" customWidth="1"/>
    <col min="8453" max="8453" width="87.7109375" style="167" customWidth="1"/>
    <col min="8454" max="8454" width="8.28515625" style="167" customWidth="1"/>
    <col min="8455" max="8455" width="0" style="167" hidden="1" customWidth="1"/>
    <col min="8456" max="8456" width="11.5703125" style="167" customWidth="1"/>
    <col min="8457" max="8457" width="11.42578125" style="167" customWidth="1"/>
    <col min="8458" max="8458" width="14.5703125" style="167" customWidth="1"/>
    <col min="8459" max="8459" width="13.5703125" style="167" customWidth="1"/>
    <col min="8460" max="8460" width="14.85546875" style="167" customWidth="1"/>
    <col min="8461" max="8461" width="0" style="167" hidden="1" customWidth="1"/>
    <col min="8462" max="8462" width="14.5703125" style="167" customWidth="1"/>
    <col min="8463" max="8463" width="12.140625" style="167" customWidth="1"/>
    <col min="8464" max="8464" width="13.85546875" style="167" customWidth="1"/>
    <col min="8465" max="8465" width="15.28515625" style="167" customWidth="1"/>
    <col min="8466" max="8466" width="11.7109375" style="167" customWidth="1"/>
    <col min="8467" max="8467" width="8.85546875" style="167" customWidth="1"/>
    <col min="8468" max="8468" width="12" style="167" customWidth="1"/>
    <col min="8469" max="8474" width="0" style="167" hidden="1" customWidth="1"/>
    <col min="8475" max="8475" width="9.42578125" style="167" customWidth="1"/>
    <col min="8476" max="8476" width="12.140625" style="167" customWidth="1"/>
    <col min="8477" max="8477" width="11.42578125" style="167" customWidth="1"/>
    <col min="8478" max="8478" width="11.28515625" style="167" bestFit="1" customWidth="1"/>
    <col min="8479" max="8479" width="10.85546875" style="167" customWidth="1"/>
    <col min="8480" max="8480" width="11.5703125" style="167" customWidth="1"/>
    <col min="8481" max="8481" width="0" style="167" hidden="1" customWidth="1"/>
    <col min="8482" max="8482" width="8" style="167" customWidth="1"/>
    <col min="8483" max="8483" width="7.28515625" style="167" customWidth="1"/>
    <col min="8484" max="8484" width="18.7109375" style="167" customWidth="1"/>
    <col min="8485" max="8485" width="14.140625" style="167" customWidth="1"/>
    <col min="8486" max="8486" width="11.7109375" style="167" bestFit="1" customWidth="1"/>
    <col min="8487" max="8487" width="10.140625" style="167" bestFit="1" customWidth="1"/>
    <col min="8488" max="8704" width="9" style="167"/>
    <col min="8705" max="8705" width="4.7109375" style="167" customWidth="1"/>
    <col min="8706" max="8706" width="8.140625" style="167" customWidth="1"/>
    <col min="8707" max="8707" width="16" style="167" customWidth="1"/>
    <col min="8708" max="8708" width="13.28515625" style="167" customWidth="1"/>
    <col min="8709" max="8709" width="87.7109375" style="167" customWidth="1"/>
    <col min="8710" max="8710" width="8.28515625" style="167" customWidth="1"/>
    <col min="8711" max="8711" width="0" style="167" hidden="1" customWidth="1"/>
    <col min="8712" max="8712" width="11.5703125" style="167" customWidth="1"/>
    <col min="8713" max="8713" width="11.42578125" style="167" customWidth="1"/>
    <col min="8714" max="8714" width="14.5703125" style="167" customWidth="1"/>
    <col min="8715" max="8715" width="13.5703125" style="167" customWidth="1"/>
    <col min="8716" max="8716" width="14.85546875" style="167" customWidth="1"/>
    <col min="8717" max="8717" width="0" style="167" hidden="1" customWidth="1"/>
    <col min="8718" max="8718" width="14.5703125" style="167" customWidth="1"/>
    <col min="8719" max="8719" width="12.140625" style="167" customWidth="1"/>
    <col min="8720" max="8720" width="13.85546875" style="167" customWidth="1"/>
    <col min="8721" max="8721" width="15.28515625" style="167" customWidth="1"/>
    <col min="8722" max="8722" width="11.7109375" style="167" customWidth="1"/>
    <col min="8723" max="8723" width="8.85546875" style="167" customWidth="1"/>
    <col min="8724" max="8724" width="12" style="167" customWidth="1"/>
    <col min="8725" max="8730" width="0" style="167" hidden="1" customWidth="1"/>
    <col min="8731" max="8731" width="9.42578125" style="167" customWidth="1"/>
    <col min="8732" max="8732" width="12.140625" style="167" customWidth="1"/>
    <col min="8733" max="8733" width="11.42578125" style="167" customWidth="1"/>
    <col min="8734" max="8734" width="11.28515625" style="167" bestFit="1" customWidth="1"/>
    <col min="8735" max="8735" width="10.85546875" style="167" customWidth="1"/>
    <col min="8736" max="8736" width="11.5703125" style="167" customWidth="1"/>
    <col min="8737" max="8737" width="0" style="167" hidden="1" customWidth="1"/>
    <col min="8738" max="8738" width="8" style="167" customWidth="1"/>
    <col min="8739" max="8739" width="7.28515625" style="167" customWidth="1"/>
    <col min="8740" max="8740" width="18.7109375" style="167" customWidth="1"/>
    <col min="8741" max="8741" width="14.140625" style="167" customWidth="1"/>
    <col min="8742" max="8742" width="11.7109375" style="167" bestFit="1" customWidth="1"/>
    <col min="8743" max="8743" width="10.140625" style="167" bestFit="1" customWidth="1"/>
    <col min="8744" max="8960" width="9" style="167"/>
    <col min="8961" max="8961" width="4.7109375" style="167" customWidth="1"/>
    <col min="8962" max="8962" width="8.140625" style="167" customWidth="1"/>
    <col min="8963" max="8963" width="16" style="167" customWidth="1"/>
    <col min="8964" max="8964" width="13.28515625" style="167" customWidth="1"/>
    <col min="8965" max="8965" width="87.7109375" style="167" customWidth="1"/>
    <col min="8966" max="8966" width="8.28515625" style="167" customWidth="1"/>
    <col min="8967" max="8967" width="0" style="167" hidden="1" customWidth="1"/>
    <col min="8968" max="8968" width="11.5703125" style="167" customWidth="1"/>
    <col min="8969" max="8969" width="11.42578125" style="167" customWidth="1"/>
    <col min="8970" max="8970" width="14.5703125" style="167" customWidth="1"/>
    <col min="8971" max="8971" width="13.5703125" style="167" customWidth="1"/>
    <col min="8972" max="8972" width="14.85546875" style="167" customWidth="1"/>
    <col min="8973" max="8973" width="0" style="167" hidden="1" customWidth="1"/>
    <col min="8974" max="8974" width="14.5703125" style="167" customWidth="1"/>
    <col min="8975" max="8975" width="12.140625" style="167" customWidth="1"/>
    <col min="8976" max="8976" width="13.85546875" style="167" customWidth="1"/>
    <col min="8977" max="8977" width="15.28515625" style="167" customWidth="1"/>
    <col min="8978" max="8978" width="11.7109375" style="167" customWidth="1"/>
    <col min="8979" max="8979" width="8.85546875" style="167" customWidth="1"/>
    <col min="8980" max="8980" width="12" style="167" customWidth="1"/>
    <col min="8981" max="8986" width="0" style="167" hidden="1" customWidth="1"/>
    <col min="8987" max="8987" width="9.42578125" style="167" customWidth="1"/>
    <col min="8988" max="8988" width="12.140625" style="167" customWidth="1"/>
    <col min="8989" max="8989" width="11.42578125" style="167" customWidth="1"/>
    <col min="8990" max="8990" width="11.28515625" style="167" bestFit="1" customWidth="1"/>
    <col min="8991" max="8991" width="10.85546875" style="167" customWidth="1"/>
    <col min="8992" max="8992" width="11.5703125" style="167" customWidth="1"/>
    <col min="8993" max="8993" width="0" style="167" hidden="1" customWidth="1"/>
    <col min="8994" max="8994" width="8" style="167" customWidth="1"/>
    <col min="8995" max="8995" width="7.28515625" style="167" customWidth="1"/>
    <col min="8996" max="8996" width="18.7109375" style="167" customWidth="1"/>
    <col min="8997" max="8997" width="14.140625" style="167" customWidth="1"/>
    <col min="8998" max="8998" width="11.7109375" style="167" bestFit="1" customWidth="1"/>
    <col min="8999" max="8999" width="10.140625" style="167" bestFit="1" customWidth="1"/>
    <col min="9000" max="9216" width="9" style="167"/>
    <col min="9217" max="9217" width="4.7109375" style="167" customWidth="1"/>
    <col min="9218" max="9218" width="8.140625" style="167" customWidth="1"/>
    <col min="9219" max="9219" width="16" style="167" customWidth="1"/>
    <col min="9220" max="9220" width="13.28515625" style="167" customWidth="1"/>
    <col min="9221" max="9221" width="87.7109375" style="167" customWidth="1"/>
    <col min="9222" max="9222" width="8.28515625" style="167" customWidth="1"/>
    <col min="9223" max="9223" width="0" style="167" hidden="1" customWidth="1"/>
    <col min="9224" max="9224" width="11.5703125" style="167" customWidth="1"/>
    <col min="9225" max="9225" width="11.42578125" style="167" customWidth="1"/>
    <col min="9226" max="9226" width="14.5703125" style="167" customWidth="1"/>
    <col min="9227" max="9227" width="13.5703125" style="167" customWidth="1"/>
    <col min="9228" max="9228" width="14.85546875" style="167" customWidth="1"/>
    <col min="9229" max="9229" width="0" style="167" hidden="1" customWidth="1"/>
    <col min="9230" max="9230" width="14.5703125" style="167" customWidth="1"/>
    <col min="9231" max="9231" width="12.140625" style="167" customWidth="1"/>
    <col min="9232" max="9232" width="13.85546875" style="167" customWidth="1"/>
    <col min="9233" max="9233" width="15.28515625" style="167" customWidth="1"/>
    <col min="9234" max="9234" width="11.7109375" style="167" customWidth="1"/>
    <col min="9235" max="9235" width="8.85546875" style="167" customWidth="1"/>
    <col min="9236" max="9236" width="12" style="167" customWidth="1"/>
    <col min="9237" max="9242" width="0" style="167" hidden="1" customWidth="1"/>
    <col min="9243" max="9243" width="9.42578125" style="167" customWidth="1"/>
    <col min="9244" max="9244" width="12.140625" style="167" customWidth="1"/>
    <col min="9245" max="9245" width="11.42578125" style="167" customWidth="1"/>
    <col min="9246" max="9246" width="11.28515625" style="167" bestFit="1" customWidth="1"/>
    <col min="9247" max="9247" width="10.85546875" style="167" customWidth="1"/>
    <col min="9248" max="9248" width="11.5703125" style="167" customWidth="1"/>
    <col min="9249" max="9249" width="0" style="167" hidden="1" customWidth="1"/>
    <col min="9250" max="9250" width="8" style="167" customWidth="1"/>
    <col min="9251" max="9251" width="7.28515625" style="167" customWidth="1"/>
    <col min="9252" max="9252" width="18.7109375" style="167" customWidth="1"/>
    <col min="9253" max="9253" width="14.140625" style="167" customWidth="1"/>
    <col min="9254" max="9254" width="11.7109375" style="167" bestFit="1" customWidth="1"/>
    <col min="9255" max="9255" width="10.140625" style="167" bestFit="1" customWidth="1"/>
    <col min="9256" max="9472" width="9" style="167"/>
    <col min="9473" max="9473" width="4.7109375" style="167" customWidth="1"/>
    <col min="9474" max="9474" width="8.140625" style="167" customWidth="1"/>
    <col min="9475" max="9475" width="16" style="167" customWidth="1"/>
    <col min="9476" max="9476" width="13.28515625" style="167" customWidth="1"/>
    <col min="9477" max="9477" width="87.7109375" style="167" customWidth="1"/>
    <col min="9478" max="9478" width="8.28515625" style="167" customWidth="1"/>
    <col min="9479" max="9479" width="0" style="167" hidden="1" customWidth="1"/>
    <col min="9480" max="9480" width="11.5703125" style="167" customWidth="1"/>
    <col min="9481" max="9481" width="11.42578125" style="167" customWidth="1"/>
    <col min="9482" max="9482" width="14.5703125" style="167" customWidth="1"/>
    <col min="9483" max="9483" width="13.5703125" style="167" customWidth="1"/>
    <col min="9484" max="9484" width="14.85546875" style="167" customWidth="1"/>
    <col min="9485" max="9485" width="0" style="167" hidden="1" customWidth="1"/>
    <col min="9486" max="9486" width="14.5703125" style="167" customWidth="1"/>
    <col min="9487" max="9487" width="12.140625" style="167" customWidth="1"/>
    <col min="9488" max="9488" width="13.85546875" style="167" customWidth="1"/>
    <col min="9489" max="9489" width="15.28515625" style="167" customWidth="1"/>
    <col min="9490" max="9490" width="11.7109375" style="167" customWidth="1"/>
    <col min="9491" max="9491" width="8.85546875" style="167" customWidth="1"/>
    <col min="9492" max="9492" width="12" style="167" customWidth="1"/>
    <col min="9493" max="9498" width="0" style="167" hidden="1" customWidth="1"/>
    <col min="9499" max="9499" width="9.42578125" style="167" customWidth="1"/>
    <col min="9500" max="9500" width="12.140625" style="167" customWidth="1"/>
    <col min="9501" max="9501" width="11.42578125" style="167" customWidth="1"/>
    <col min="9502" max="9502" width="11.28515625" style="167" bestFit="1" customWidth="1"/>
    <col min="9503" max="9503" width="10.85546875" style="167" customWidth="1"/>
    <col min="9504" max="9504" width="11.5703125" style="167" customWidth="1"/>
    <col min="9505" max="9505" width="0" style="167" hidden="1" customWidth="1"/>
    <col min="9506" max="9506" width="8" style="167" customWidth="1"/>
    <col min="9507" max="9507" width="7.28515625" style="167" customWidth="1"/>
    <col min="9508" max="9508" width="18.7109375" style="167" customWidth="1"/>
    <col min="9509" max="9509" width="14.140625" style="167" customWidth="1"/>
    <col min="9510" max="9510" width="11.7109375" style="167" bestFit="1" customWidth="1"/>
    <col min="9511" max="9511" width="10.140625" style="167" bestFit="1" customWidth="1"/>
    <col min="9512" max="9728" width="9" style="167"/>
    <col min="9729" max="9729" width="4.7109375" style="167" customWidth="1"/>
    <col min="9730" max="9730" width="8.140625" style="167" customWidth="1"/>
    <col min="9731" max="9731" width="16" style="167" customWidth="1"/>
    <col min="9732" max="9732" width="13.28515625" style="167" customWidth="1"/>
    <col min="9733" max="9733" width="87.7109375" style="167" customWidth="1"/>
    <col min="9734" max="9734" width="8.28515625" style="167" customWidth="1"/>
    <col min="9735" max="9735" width="0" style="167" hidden="1" customWidth="1"/>
    <col min="9736" max="9736" width="11.5703125" style="167" customWidth="1"/>
    <col min="9737" max="9737" width="11.42578125" style="167" customWidth="1"/>
    <col min="9738" max="9738" width="14.5703125" style="167" customWidth="1"/>
    <col min="9739" max="9739" width="13.5703125" style="167" customWidth="1"/>
    <col min="9740" max="9740" width="14.85546875" style="167" customWidth="1"/>
    <col min="9741" max="9741" width="0" style="167" hidden="1" customWidth="1"/>
    <col min="9742" max="9742" width="14.5703125" style="167" customWidth="1"/>
    <col min="9743" max="9743" width="12.140625" style="167" customWidth="1"/>
    <col min="9744" max="9744" width="13.85546875" style="167" customWidth="1"/>
    <col min="9745" max="9745" width="15.28515625" style="167" customWidth="1"/>
    <col min="9746" max="9746" width="11.7109375" style="167" customWidth="1"/>
    <col min="9747" max="9747" width="8.85546875" style="167" customWidth="1"/>
    <col min="9748" max="9748" width="12" style="167" customWidth="1"/>
    <col min="9749" max="9754" width="0" style="167" hidden="1" customWidth="1"/>
    <col min="9755" max="9755" width="9.42578125" style="167" customWidth="1"/>
    <col min="9756" max="9756" width="12.140625" style="167" customWidth="1"/>
    <col min="9757" max="9757" width="11.42578125" style="167" customWidth="1"/>
    <col min="9758" max="9758" width="11.28515625" style="167" bestFit="1" customWidth="1"/>
    <col min="9759" max="9759" width="10.85546875" style="167" customWidth="1"/>
    <col min="9760" max="9760" width="11.5703125" style="167" customWidth="1"/>
    <col min="9761" max="9761" width="0" style="167" hidden="1" customWidth="1"/>
    <col min="9762" max="9762" width="8" style="167" customWidth="1"/>
    <col min="9763" max="9763" width="7.28515625" style="167" customWidth="1"/>
    <col min="9764" max="9764" width="18.7109375" style="167" customWidth="1"/>
    <col min="9765" max="9765" width="14.140625" style="167" customWidth="1"/>
    <col min="9766" max="9766" width="11.7109375" style="167" bestFit="1" customWidth="1"/>
    <col min="9767" max="9767" width="10.140625" style="167" bestFit="1" customWidth="1"/>
    <col min="9768" max="9984" width="9" style="167"/>
    <col min="9985" max="9985" width="4.7109375" style="167" customWidth="1"/>
    <col min="9986" max="9986" width="8.140625" style="167" customWidth="1"/>
    <col min="9987" max="9987" width="16" style="167" customWidth="1"/>
    <col min="9988" max="9988" width="13.28515625" style="167" customWidth="1"/>
    <col min="9989" max="9989" width="87.7109375" style="167" customWidth="1"/>
    <col min="9990" max="9990" width="8.28515625" style="167" customWidth="1"/>
    <col min="9991" max="9991" width="0" style="167" hidden="1" customWidth="1"/>
    <col min="9992" max="9992" width="11.5703125" style="167" customWidth="1"/>
    <col min="9993" max="9993" width="11.42578125" style="167" customWidth="1"/>
    <col min="9994" max="9994" width="14.5703125" style="167" customWidth="1"/>
    <col min="9995" max="9995" width="13.5703125" style="167" customWidth="1"/>
    <col min="9996" max="9996" width="14.85546875" style="167" customWidth="1"/>
    <col min="9997" max="9997" width="0" style="167" hidden="1" customWidth="1"/>
    <col min="9998" max="9998" width="14.5703125" style="167" customWidth="1"/>
    <col min="9999" max="9999" width="12.140625" style="167" customWidth="1"/>
    <col min="10000" max="10000" width="13.85546875" style="167" customWidth="1"/>
    <col min="10001" max="10001" width="15.28515625" style="167" customWidth="1"/>
    <col min="10002" max="10002" width="11.7109375" style="167" customWidth="1"/>
    <col min="10003" max="10003" width="8.85546875" style="167" customWidth="1"/>
    <col min="10004" max="10004" width="12" style="167" customWidth="1"/>
    <col min="10005" max="10010" width="0" style="167" hidden="1" customWidth="1"/>
    <col min="10011" max="10011" width="9.42578125" style="167" customWidth="1"/>
    <col min="10012" max="10012" width="12.140625" style="167" customWidth="1"/>
    <col min="10013" max="10013" width="11.42578125" style="167" customWidth="1"/>
    <col min="10014" max="10014" width="11.28515625" style="167" bestFit="1" customWidth="1"/>
    <col min="10015" max="10015" width="10.85546875" style="167" customWidth="1"/>
    <col min="10016" max="10016" width="11.5703125" style="167" customWidth="1"/>
    <col min="10017" max="10017" width="0" style="167" hidden="1" customWidth="1"/>
    <col min="10018" max="10018" width="8" style="167" customWidth="1"/>
    <col min="10019" max="10019" width="7.28515625" style="167" customWidth="1"/>
    <col min="10020" max="10020" width="18.7109375" style="167" customWidth="1"/>
    <col min="10021" max="10021" width="14.140625" style="167" customWidth="1"/>
    <col min="10022" max="10022" width="11.7109375" style="167" bestFit="1" customWidth="1"/>
    <col min="10023" max="10023" width="10.140625" style="167" bestFit="1" customWidth="1"/>
    <col min="10024" max="10240" width="9" style="167"/>
    <col min="10241" max="10241" width="4.7109375" style="167" customWidth="1"/>
    <col min="10242" max="10242" width="8.140625" style="167" customWidth="1"/>
    <col min="10243" max="10243" width="16" style="167" customWidth="1"/>
    <col min="10244" max="10244" width="13.28515625" style="167" customWidth="1"/>
    <col min="10245" max="10245" width="87.7109375" style="167" customWidth="1"/>
    <col min="10246" max="10246" width="8.28515625" style="167" customWidth="1"/>
    <col min="10247" max="10247" width="0" style="167" hidden="1" customWidth="1"/>
    <col min="10248" max="10248" width="11.5703125" style="167" customWidth="1"/>
    <col min="10249" max="10249" width="11.42578125" style="167" customWidth="1"/>
    <col min="10250" max="10250" width="14.5703125" style="167" customWidth="1"/>
    <col min="10251" max="10251" width="13.5703125" style="167" customWidth="1"/>
    <col min="10252" max="10252" width="14.85546875" style="167" customWidth="1"/>
    <col min="10253" max="10253" width="0" style="167" hidden="1" customWidth="1"/>
    <col min="10254" max="10254" width="14.5703125" style="167" customWidth="1"/>
    <col min="10255" max="10255" width="12.140625" style="167" customWidth="1"/>
    <col min="10256" max="10256" width="13.85546875" style="167" customWidth="1"/>
    <col min="10257" max="10257" width="15.28515625" style="167" customWidth="1"/>
    <col min="10258" max="10258" width="11.7109375" style="167" customWidth="1"/>
    <col min="10259" max="10259" width="8.85546875" style="167" customWidth="1"/>
    <col min="10260" max="10260" width="12" style="167" customWidth="1"/>
    <col min="10261" max="10266" width="0" style="167" hidden="1" customWidth="1"/>
    <col min="10267" max="10267" width="9.42578125" style="167" customWidth="1"/>
    <col min="10268" max="10268" width="12.140625" style="167" customWidth="1"/>
    <col min="10269" max="10269" width="11.42578125" style="167" customWidth="1"/>
    <col min="10270" max="10270" width="11.28515625" style="167" bestFit="1" customWidth="1"/>
    <col min="10271" max="10271" width="10.85546875" style="167" customWidth="1"/>
    <col min="10272" max="10272" width="11.5703125" style="167" customWidth="1"/>
    <col min="10273" max="10273" width="0" style="167" hidden="1" customWidth="1"/>
    <col min="10274" max="10274" width="8" style="167" customWidth="1"/>
    <col min="10275" max="10275" width="7.28515625" style="167" customWidth="1"/>
    <col min="10276" max="10276" width="18.7109375" style="167" customWidth="1"/>
    <col min="10277" max="10277" width="14.140625" style="167" customWidth="1"/>
    <col min="10278" max="10278" width="11.7109375" style="167" bestFit="1" customWidth="1"/>
    <col min="10279" max="10279" width="10.140625" style="167" bestFit="1" customWidth="1"/>
    <col min="10280" max="10496" width="9" style="167"/>
    <col min="10497" max="10497" width="4.7109375" style="167" customWidth="1"/>
    <col min="10498" max="10498" width="8.140625" style="167" customWidth="1"/>
    <col min="10499" max="10499" width="16" style="167" customWidth="1"/>
    <col min="10500" max="10500" width="13.28515625" style="167" customWidth="1"/>
    <col min="10501" max="10501" width="87.7109375" style="167" customWidth="1"/>
    <col min="10502" max="10502" width="8.28515625" style="167" customWidth="1"/>
    <col min="10503" max="10503" width="0" style="167" hidden="1" customWidth="1"/>
    <col min="10504" max="10504" width="11.5703125" style="167" customWidth="1"/>
    <col min="10505" max="10505" width="11.42578125" style="167" customWidth="1"/>
    <col min="10506" max="10506" width="14.5703125" style="167" customWidth="1"/>
    <col min="10507" max="10507" width="13.5703125" style="167" customWidth="1"/>
    <col min="10508" max="10508" width="14.85546875" style="167" customWidth="1"/>
    <col min="10509" max="10509" width="0" style="167" hidden="1" customWidth="1"/>
    <col min="10510" max="10510" width="14.5703125" style="167" customWidth="1"/>
    <col min="10511" max="10511" width="12.140625" style="167" customWidth="1"/>
    <col min="10512" max="10512" width="13.85546875" style="167" customWidth="1"/>
    <col min="10513" max="10513" width="15.28515625" style="167" customWidth="1"/>
    <col min="10514" max="10514" width="11.7109375" style="167" customWidth="1"/>
    <col min="10515" max="10515" width="8.85546875" style="167" customWidth="1"/>
    <col min="10516" max="10516" width="12" style="167" customWidth="1"/>
    <col min="10517" max="10522" width="0" style="167" hidden="1" customWidth="1"/>
    <col min="10523" max="10523" width="9.42578125" style="167" customWidth="1"/>
    <col min="10524" max="10524" width="12.140625" style="167" customWidth="1"/>
    <col min="10525" max="10525" width="11.42578125" style="167" customWidth="1"/>
    <col min="10526" max="10526" width="11.28515625" style="167" bestFit="1" customWidth="1"/>
    <col min="10527" max="10527" width="10.85546875" style="167" customWidth="1"/>
    <col min="10528" max="10528" width="11.5703125" style="167" customWidth="1"/>
    <col min="10529" max="10529" width="0" style="167" hidden="1" customWidth="1"/>
    <col min="10530" max="10530" width="8" style="167" customWidth="1"/>
    <col min="10531" max="10531" width="7.28515625" style="167" customWidth="1"/>
    <col min="10532" max="10532" width="18.7109375" style="167" customWidth="1"/>
    <col min="10533" max="10533" width="14.140625" style="167" customWidth="1"/>
    <col min="10534" max="10534" width="11.7109375" style="167" bestFit="1" customWidth="1"/>
    <col min="10535" max="10535" width="10.140625" style="167" bestFit="1" customWidth="1"/>
    <col min="10536" max="10752" width="9" style="167"/>
    <col min="10753" max="10753" width="4.7109375" style="167" customWidth="1"/>
    <col min="10754" max="10754" width="8.140625" style="167" customWidth="1"/>
    <col min="10755" max="10755" width="16" style="167" customWidth="1"/>
    <col min="10756" max="10756" width="13.28515625" style="167" customWidth="1"/>
    <col min="10757" max="10757" width="87.7109375" style="167" customWidth="1"/>
    <col min="10758" max="10758" width="8.28515625" style="167" customWidth="1"/>
    <col min="10759" max="10759" width="0" style="167" hidden="1" customWidth="1"/>
    <col min="10760" max="10760" width="11.5703125" style="167" customWidth="1"/>
    <col min="10761" max="10761" width="11.42578125" style="167" customWidth="1"/>
    <col min="10762" max="10762" width="14.5703125" style="167" customWidth="1"/>
    <col min="10763" max="10763" width="13.5703125" style="167" customWidth="1"/>
    <col min="10764" max="10764" width="14.85546875" style="167" customWidth="1"/>
    <col min="10765" max="10765" width="0" style="167" hidden="1" customWidth="1"/>
    <col min="10766" max="10766" width="14.5703125" style="167" customWidth="1"/>
    <col min="10767" max="10767" width="12.140625" style="167" customWidth="1"/>
    <col min="10768" max="10768" width="13.85546875" style="167" customWidth="1"/>
    <col min="10769" max="10769" width="15.28515625" style="167" customWidth="1"/>
    <col min="10770" max="10770" width="11.7109375" style="167" customWidth="1"/>
    <col min="10771" max="10771" width="8.85546875" style="167" customWidth="1"/>
    <col min="10772" max="10772" width="12" style="167" customWidth="1"/>
    <col min="10773" max="10778" width="0" style="167" hidden="1" customWidth="1"/>
    <col min="10779" max="10779" width="9.42578125" style="167" customWidth="1"/>
    <col min="10780" max="10780" width="12.140625" style="167" customWidth="1"/>
    <col min="10781" max="10781" width="11.42578125" style="167" customWidth="1"/>
    <col min="10782" max="10782" width="11.28515625" style="167" bestFit="1" customWidth="1"/>
    <col min="10783" max="10783" width="10.85546875" style="167" customWidth="1"/>
    <col min="10784" max="10784" width="11.5703125" style="167" customWidth="1"/>
    <col min="10785" max="10785" width="0" style="167" hidden="1" customWidth="1"/>
    <col min="10786" max="10786" width="8" style="167" customWidth="1"/>
    <col min="10787" max="10787" width="7.28515625" style="167" customWidth="1"/>
    <col min="10788" max="10788" width="18.7109375" style="167" customWidth="1"/>
    <col min="10789" max="10789" width="14.140625" style="167" customWidth="1"/>
    <col min="10790" max="10790" width="11.7109375" style="167" bestFit="1" customWidth="1"/>
    <col min="10791" max="10791" width="10.140625" style="167" bestFit="1" customWidth="1"/>
    <col min="10792" max="11008" width="9" style="167"/>
    <col min="11009" max="11009" width="4.7109375" style="167" customWidth="1"/>
    <col min="11010" max="11010" width="8.140625" style="167" customWidth="1"/>
    <col min="11011" max="11011" width="16" style="167" customWidth="1"/>
    <col min="11012" max="11012" width="13.28515625" style="167" customWidth="1"/>
    <col min="11013" max="11013" width="87.7109375" style="167" customWidth="1"/>
    <col min="11014" max="11014" width="8.28515625" style="167" customWidth="1"/>
    <col min="11015" max="11015" width="0" style="167" hidden="1" customWidth="1"/>
    <col min="11016" max="11016" width="11.5703125" style="167" customWidth="1"/>
    <col min="11017" max="11017" width="11.42578125" style="167" customWidth="1"/>
    <col min="11018" max="11018" width="14.5703125" style="167" customWidth="1"/>
    <col min="11019" max="11019" width="13.5703125" style="167" customWidth="1"/>
    <col min="11020" max="11020" width="14.85546875" style="167" customWidth="1"/>
    <col min="11021" max="11021" width="0" style="167" hidden="1" customWidth="1"/>
    <col min="11022" max="11022" width="14.5703125" style="167" customWidth="1"/>
    <col min="11023" max="11023" width="12.140625" style="167" customWidth="1"/>
    <col min="11024" max="11024" width="13.85546875" style="167" customWidth="1"/>
    <col min="11025" max="11025" width="15.28515625" style="167" customWidth="1"/>
    <col min="11026" max="11026" width="11.7109375" style="167" customWidth="1"/>
    <col min="11027" max="11027" width="8.85546875" style="167" customWidth="1"/>
    <col min="11028" max="11028" width="12" style="167" customWidth="1"/>
    <col min="11029" max="11034" width="0" style="167" hidden="1" customWidth="1"/>
    <col min="11035" max="11035" width="9.42578125" style="167" customWidth="1"/>
    <col min="11036" max="11036" width="12.140625" style="167" customWidth="1"/>
    <col min="11037" max="11037" width="11.42578125" style="167" customWidth="1"/>
    <col min="11038" max="11038" width="11.28515625" style="167" bestFit="1" customWidth="1"/>
    <col min="11039" max="11039" width="10.85546875" style="167" customWidth="1"/>
    <col min="11040" max="11040" width="11.5703125" style="167" customWidth="1"/>
    <col min="11041" max="11041" width="0" style="167" hidden="1" customWidth="1"/>
    <col min="11042" max="11042" width="8" style="167" customWidth="1"/>
    <col min="11043" max="11043" width="7.28515625" style="167" customWidth="1"/>
    <col min="11044" max="11044" width="18.7109375" style="167" customWidth="1"/>
    <col min="11045" max="11045" width="14.140625" style="167" customWidth="1"/>
    <col min="11046" max="11046" width="11.7109375" style="167" bestFit="1" customWidth="1"/>
    <col min="11047" max="11047" width="10.140625" style="167" bestFit="1" customWidth="1"/>
    <col min="11048" max="11264" width="9" style="167"/>
    <col min="11265" max="11265" width="4.7109375" style="167" customWidth="1"/>
    <col min="11266" max="11266" width="8.140625" style="167" customWidth="1"/>
    <col min="11267" max="11267" width="16" style="167" customWidth="1"/>
    <col min="11268" max="11268" width="13.28515625" style="167" customWidth="1"/>
    <col min="11269" max="11269" width="87.7109375" style="167" customWidth="1"/>
    <col min="11270" max="11270" width="8.28515625" style="167" customWidth="1"/>
    <col min="11271" max="11271" width="0" style="167" hidden="1" customWidth="1"/>
    <col min="11272" max="11272" width="11.5703125" style="167" customWidth="1"/>
    <col min="11273" max="11273" width="11.42578125" style="167" customWidth="1"/>
    <col min="11274" max="11274" width="14.5703125" style="167" customWidth="1"/>
    <col min="11275" max="11275" width="13.5703125" style="167" customWidth="1"/>
    <col min="11276" max="11276" width="14.85546875" style="167" customWidth="1"/>
    <col min="11277" max="11277" width="0" style="167" hidden="1" customWidth="1"/>
    <col min="11278" max="11278" width="14.5703125" style="167" customWidth="1"/>
    <col min="11279" max="11279" width="12.140625" style="167" customWidth="1"/>
    <col min="11280" max="11280" width="13.85546875" style="167" customWidth="1"/>
    <col min="11281" max="11281" width="15.28515625" style="167" customWidth="1"/>
    <col min="11282" max="11282" width="11.7109375" style="167" customWidth="1"/>
    <col min="11283" max="11283" width="8.85546875" style="167" customWidth="1"/>
    <col min="11284" max="11284" width="12" style="167" customWidth="1"/>
    <col min="11285" max="11290" width="0" style="167" hidden="1" customWidth="1"/>
    <col min="11291" max="11291" width="9.42578125" style="167" customWidth="1"/>
    <col min="11292" max="11292" width="12.140625" style="167" customWidth="1"/>
    <col min="11293" max="11293" width="11.42578125" style="167" customWidth="1"/>
    <col min="11294" max="11294" width="11.28515625" style="167" bestFit="1" customWidth="1"/>
    <col min="11295" max="11295" width="10.85546875" style="167" customWidth="1"/>
    <col min="11296" max="11296" width="11.5703125" style="167" customWidth="1"/>
    <col min="11297" max="11297" width="0" style="167" hidden="1" customWidth="1"/>
    <col min="11298" max="11298" width="8" style="167" customWidth="1"/>
    <col min="11299" max="11299" width="7.28515625" style="167" customWidth="1"/>
    <col min="11300" max="11300" width="18.7109375" style="167" customWidth="1"/>
    <col min="11301" max="11301" width="14.140625" style="167" customWidth="1"/>
    <col min="11302" max="11302" width="11.7109375" style="167" bestFit="1" customWidth="1"/>
    <col min="11303" max="11303" width="10.140625" style="167" bestFit="1" customWidth="1"/>
    <col min="11304" max="11520" width="9" style="167"/>
    <col min="11521" max="11521" width="4.7109375" style="167" customWidth="1"/>
    <col min="11522" max="11522" width="8.140625" style="167" customWidth="1"/>
    <col min="11523" max="11523" width="16" style="167" customWidth="1"/>
    <col min="11524" max="11524" width="13.28515625" style="167" customWidth="1"/>
    <col min="11525" max="11525" width="87.7109375" style="167" customWidth="1"/>
    <col min="11526" max="11526" width="8.28515625" style="167" customWidth="1"/>
    <col min="11527" max="11527" width="0" style="167" hidden="1" customWidth="1"/>
    <col min="11528" max="11528" width="11.5703125" style="167" customWidth="1"/>
    <col min="11529" max="11529" width="11.42578125" style="167" customWidth="1"/>
    <col min="11530" max="11530" width="14.5703125" style="167" customWidth="1"/>
    <col min="11531" max="11531" width="13.5703125" style="167" customWidth="1"/>
    <col min="11532" max="11532" width="14.85546875" style="167" customWidth="1"/>
    <col min="11533" max="11533" width="0" style="167" hidden="1" customWidth="1"/>
    <col min="11534" max="11534" width="14.5703125" style="167" customWidth="1"/>
    <col min="11535" max="11535" width="12.140625" style="167" customWidth="1"/>
    <col min="11536" max="11536" width="13.85546875" style="167" customWidth="1"/>
    <col min="11537" max="11537" width="15.28515625" style="167" customWidth="1"/>
    <col min="11538" max="11538" width="11.7109375" style="167" customWidth="1"/>
    <col min="11539" max="11539" width="8.85546875" style="167" customWidth="1"/>
    <col min="11540" max="11540" width="12" style="167" customWidth="1"/>
    <col min="11541" max="11546" width="0" style="167" hidden="1" customWidth="1"/>
    <col min="11547" max="11547" width="9.42578125" style="167" customWidth="1"/>
    <col min="11548" max="11548" width="12.140625" style="167" customWidth="1"/>
    <col min="11549" max="11549" width="11.42578125" style="167" customWidth="1"/>
    <col min="11550" max="11550" width="11.28515625" style="167" bestFit="1" customWidth="1"/>
    <col min="11551" max="11551" width="10.85546875" style="167" customWidth="1"/>
    <col min="11552" max="11552" width="11.5703125" style="167" customWidth="1"/>
    <col min="11553" max="11553" width="0" style="167" hidden="1" customWidth="1"/>
    <col min="11554" max="11554" width="8" style="167" customWidth="1"/>
    <col min="11555" max="11555" width="7.28515625" style="167" customWidth="1"/>
    <col min="11556" max="11556" width="18.7109375" style="167" customWidth="1"/>
    <col min="11557" max="11557" width="14.140625" style="167" customWidth="1"/>
    <col min="11558" max="11558" width="11.7109375" style="167" bestFit="1" customWidth="1"/>
    <col min="11559" max="11559" width="10.140625" style="167" bestFit="1" customWidth="1"/>
    <col min="11560" max="11776" width="9" style="167"/>
    <col min="11777" max="11777" width="4.7109375" style="167" customWidth="1"/>
    <col min="11778" max="11778" width="8.140625" style="167" customWidth="1"/>
    <col min="11779" max="11779" width="16" style="167" customWidth="1"/>
    <col min="11780" max="11780" width="13.28515625" style="167" customWidth="1"/>
    <col min="11781" max="11781" width="87.7109375" style="167" customWidth="1"/>
    <col min="11782" max="11782" width="8.28515625" style="167" customWidth="1"/>
    <col min="11783" max="11783" width="0" style="167" hidden="1" customWidth="1"/>
    <col min="11784" max="11784" width="11.5703125" style="167" customWidth="1"/>
    <col min="11785" max="11785" width="11.42578125" style="167" customWidth="1"/>
    <col min="11786" max="11786" width="14.5703125" style="167" customWidth="1"/>
    <col min="11787" max="11787" width="13.5703125" style="167" customWidth="1"/>
    <col min="11788" max="11788" width="14.85546875" style="167" customWidth="1"/>
    <col min="11789" max="11789" width="0" style="167" hidden="1" customWidth="1"/>
    <col min="11790" max="11790" width="14.5703125" style="167" customWidth="1"/>
    <col min="11791" max="11791" width="12.140625" style="167" customWidth="1"/>
    <col min="11792" max="11792" width="13.85546875" style="167" customWidth="1"/>
    <col min="11793" max="11793" width="15.28515625" style="167" customWidth="1"/>
    <col min="11794" max="11794" width="11.7109375" style="167" customWidth="1"/>
    <col min="11795" max="11795" width="8.85546875" style="167" customWidth="1"/>
    <col min="11796" max="11796" width="12" style="167" customWidth="1"/>
    <col min="11797" max="11802" width="0" style="167" hidden="1" customWidth="1"/>
    <col min="11803" max="11803" width="9.42578125" style="167" customWidth="1"/>
    <col min="11804" max="11804" width="12.140625" style="167" customWidth="1"/>
    <col min="11805" max="11805" width="11.42578125" style="167" customWidth="1"/>
    <col min="11806" max="11806" width="11.28515625" style="167" bestFit="1" customWidth="1"/>
    <col min="11807" max="11807" width="10.85546875" style="167" customWidth="1"/>
    <col min="11808" max="11808" width="11.5703125" style="167" customWidth="1"/>
    <col min="11809" max="11809" width="0" style="167" hidden="1" customWidth="1"/>
    <col min="11810" max="11810" width="8" style="167" customWidth="1"/>
    <col min="11811" max="11811" width="7.28515625" style="167" customWidth="1"/>
    <col min="11812" max="11812" width="18.7109375" style="167" customWidth="1"/>
    <col min="11813" max="11813" width="14.140625" style="167" customWidth="1"/>
    <col min="11814" max="11814" width="11.7109375" style="167" bestFit="1" customWidth="1"/>
    <col min="11815" max="11815" width="10.140625" style="167" bestFit="1" customWidth="1"/>
    <col min="11816" max="12032" width="9" style="167"/>
    <col min="12033" max="12033" width="4.7109375" style="167" customWidth="1"/>
    <col min="12034" max="12034" width="8.140625" style="167" customWidth="1"/>
    <col min="12035" max="12035" width="16" style="167" customWidth="1"/>
    <col min="12036" max="12036" width="13.28515625" style="167" customWidth="1"/>
    <col min="12037" max="12037" width="87.7109375" style="167" customWidth="1"/>
    <col min="12038" max="12038" width="8.28515625" style="167" customWidth="1"/>
    <col min="12039" max="12039" width="0" style="167" hidden="1" customWidth="1"/>
    <col min="12040" max="12040" width="11.5703125" style="167" customWidth="1"/>
    <col min="12041" max="12041" width="11.42578125" style="167" customWidth="1"/>
    <col min="12042" max="12042" width="14.5703125" style="167" customWidth="1"/>
    <col min="12043" max="12043" width="13.5703125" style="167" customWidth="1"/>
    <col min="12044" max="12044" width="14.85546875" style="167" customWidth="1"/>
    <col min="12045" max="12045" width="0" style="167" hidden="1" customWidth="1"/>
    <col min="12046" max="12046" width="14.5703125" style="167" customWidth="1"/>
    <col min="12047" max="12047" width="12.140625" style="167" customWidth="1"/>
    <col min="12048" max="12048" width="13.85546875" style="167" customWidth="1"/>
    <col min="12049" max="12049" width="15.28515625" style="167" customWidth="1"/>
    <col min="12050" max="12050" width="11.7109375" style="167" customWidth="1"/>
    <col min="12051" max="12051" width="8.85546875" style="167" customWidth="1"/>
    <col min="12052" max="12052" width="12" style="167" customWidth="1"/>
    <col min="12053" max="12058" width="0" style="167" hidden="1" customWidth="1"/>
    <col min="12059" max="12059" width="9.42578125" style="167" customWidth="1"/>
    <col min="12060" max="12060" width="12.140625" style="167" customWidth="1"/>
    <col min="12061" max="12061" width="11.42578125" style="167" customWidth="1"/>
    <col min="12062" max="12062" width="11.28515625" style="167" bestFit="1" customWidth="1"/>
    <col min="12063" max="12063" width="10.85546875" style="167" customWidth="1"/>
    <col min="12064" max="12064" width="11.5703125" style="167" customWidth="1"/>
    <col min="12065" max="12065" width="0" style="167" hidden="1" customWidth="1"/>
    <col min="12066" max="12066" width="8" style="167" customWidth="1"/>
    <col min="12067" max="12067" width="7.28515625" style="167" customWidth="1"/>
    <col min="12068" max="12068" width="18.7109375" style="167" customWidth="1"/>
    <col min="12069" max="12069" width="14.140625" style="167" customWidth="1"/>
    <col min="12070" max="12070" width="11.7109375" style="167" bestFit="1" customWidth="1"/>
    <col min="12071" max="12071" width="10.140625" style="167" bestFit="1" customWidth="1"/>
    <col min="12072" max="12288" width="9" style="167"/>
    <col min="12289" max="12289" width="4.7109375" style="167" customWidth="1"/>
    <col min="12290" max="12290" width="8.140625" style="167" customWidth="1"/>
    <col min="12291" max="12291" width="16" style="167" customWidth="1"/>
    <col min="12292" max="12292" width="13.28515625" style="167" customWidth="1"/>
    <col min="12293" max="12293" width="87.7109375" style="167" customWidth="1"/>
    <col min="12294" max="12294" width="8.28515625" style="167" customWidth="1"/>
    <col min="12295" max="12295" width="0" style="167" hidden="1" customWidth="1"/>
    <col min="12296" max="12296" width="11.5703125" style="167" customWidth="1"/>
    <col min="12297" max="12297" width="11.42578125" style="167" customWidth="1"/>
    <col min="12298" max="12298" width="14.5703125" style="167" customWidth="1"/>
    <col min="12299" max="12299" width="13.5703125" style="167" customWidth="1"/>
    <col min="12300" max="12300" width="14.85546875" style="167" customWidth="1"/>
    <col min="12301" max="12301" width="0" style="167" hidden="1" customWidth="1"/>
    <col min="12302" max="12302" width="14.5703125" style="167" customWidth="1"/>
    <col min="12303" max="12303" width="12.140625" style="167" customWidth="1"/>
    <col min="12304" max="12304" width="13.85546875" style="167" customWidth="1"/>
    <col min="12305" max="12305" width="15.28515625" style="167" customWidth="1"/>
    <col min="12306" max="12306" width="11.7109375" style="167" customWidth="1"/>
    <col min="12307" max="12307" width="8.85546875" style="167" customWidth="1"/>
    <col min="12308" max="12308" width="12" style="167" customWidth="1"/>
    <col min="12309" max="12314" width="0" style="167" hidden="1" customWidth="1"/>
    <col min="12315" max="12315" width="9.42578125" style="167" customWidth="1"/>
    <col min="12316" max="12316" width="12.140625" style="167" customWidth="1"/>
    <col min="12317" max="12317" width="11.42578125" style="167" customWidth="1"/>
    <col min="12318" max="12318" width="11.28515625" style="167" bestFit="1" customWidth="1"/>
    <col min="12319" max="12319" width="10.85546875" style="167" customWidth="1"/>
    <col min="12320" max="12320" width="11.5703125" style="167" customWidth="1"/>
    <col min="12321" max="12321" width="0" style="167" hidden="1" customWidth="1"/>
    <col min="12322" max="12322" width="8" style="167" customWidth="1"/>
    <col min="12323" max="12323" width="7.28515625" style="167" customWidth="1"/>
    <col min="12324" max="12324" width="18.7109375" style="167" customWidth="1"/>
    <col min="12325" max="12325" width="14.140625" style="167" customWidth="1"/>
    <col min="12326" max="12326" width="11.7109375" style="167" bestFit="1" customWidth="1"/>
    <col min="12327" max="12327" width="10.140625" style="167" bestFit="1" customWidth="1"/>
    <col min="12328" max="12544" width="9" style="167"/>
    <col min="12545" max="12545" width="4.7109375" style="167" customWidth="1"/>
    <col min="12546" max="12546" width="8.140625" style="167" customWidth="1"/>
    <col min="12547" max="12547" width="16" style="167" customWidth="1"/>
    <col min="12548" max="12548" width="13.28515625" style="167" customWidth="1"/>
    <col min="12549" max="12549" width="87.7109375" style="167" customWidth="1"/>
    <col min="12550" max="12550" width="8.28515625" style="167" customWidth="1"/>
    <col min="12551" max="12551" width="0" style="167" hidden="1" customWidth="1"/>
    <col min="12552" max="12552" width="11.5703125" style="167" customWidth="1"/>
    <col min="12553" max="12553" width="11.42578125" style="167" customWidth="1"/>
    <col min="12554" max="12554" width="14.5703125" style="167" customWidth="1"/>
    <col min="12555" max="12555" width="13.5703125" style="167" customWidth="1"/>
    <col min="12556" max="12556" width="14.85546875" style="167" customWidth="1"/>
    <col min="12557" max="12557" width="0" style="167" hidden="1" customWidth="1"/>
    <col min="12558" max="12558" width="14.5703125" style="167" customWidth="1"/>
    <col min="12559" max="12559" width="12.140625" style="167" customWidth="1"/>
    <col min="12560" max="12560" width="13.85546875" style="167" customWidth="1"/>
    <col min="12561" max="12561" width="15.28515625" style="167" customWidth="1"/>
    <col min="12562" max="12562" width="11.7109375" style="167" customWidth="1"/>
    <col min="12563" max="12563" width="8.85546875" style="167" customWidth="1"/>
    <col min="12564" max="12564" width="12" style="167" customWidth="1"/>
    <col min="12565" max="12570" width="0" style="167" hidden="1" customWidth="1"/>
    <col min="12571" max="12571" width="9.42578125" style="167" customWidth="1"/>
    <col min="12572" max="12572" width="12.140625" style="167" customWidth="1"/>
    <col min="12573" max="12573" width="11.42578125" style="167" customWidth="1"/>
    <col min="12574" max="12574" width="11.28515625" style="167" bestFit="1" customWidth="1"/>
    <col min="12575" max="12575" width="10.85546875" style="167" customWidth="1"/>
    <col min="12576" max="12576" width="11.5703125" style="167" customWidth="1"/>
    <col min="12577" max="12577" width="0" style="167" hidden="1" customWidth="1"/>
    <col min="12578" max="12578" width="8" style="167" customWidth="1"/>
    <col min="12579" max="12579" width="7.28515625" style="167" customWidth="1"/>
    <col min="12580" max="12580" width="18.7109375" style="167" customWidth="1"/>
    <col min="12581" max="12581" width="14.140625" style="167" customWidth="1"/>
    <col min="12582" max="12582" width="11.7109375" style="167" bestFit="1" customWidth="1"/>
    <col min="12583" max="12583" width="10.140625" style="167" bestFit="1" customWidth="1"/>
    <col min="12584" max="12800" width="9" style="167"/>
    <col min="12801" max="12801" width="4.7109375" style="167" customWidth="1"/>
    <col min="12802" max="12802" width="8.140625" style="167" customWidth="1"/>
    <col min="12803" max="12803" width="16" style="167" customWidth="1"/>
    <col min="12804" max="12804" width="13.28515625" style="167" customWidth="1"/>
    <col min="12805" max="12805" width="87.7109375" style="167" customWidth="1"/>
    <col min="12806" max="12806" width="8.28515625" style="167" customWidth="1"/>
    <col min="12807" max="12807" width="0" style="167" hidden="1" customWidth="1"/>
    <col min="12808" max="12808" width="11.5703125" style="167" customWidth="1"/>
    <col min="12809" max="12809" width="11.42578125" style="167" customWidth="1"/>
    <col min="12810" max="12810" width="14.5703125" style="167" customWidth="1"/>
    <col min="12811" max="12811" width="13.5703125" style="167" customWidth="1"/>
    <col min="12812" max="12812" width="14.85546875" style="167" customWidth="1"/>
    <col min="12813" max="12813" width="0" style="167" hidden="1" customWidth="1"/>
    <col min="12814" max="12814" width="14.5703125" style="167" customWidth="1"/>
    <col min="12815" max="12815" width="12.140625" style="167" customWidth="1"/>
    <col min="12816" max="12816" width="13.85546875" style="167" customWidth="1"/>
    <col min="12817" max="12817" width="15.28515625" style="167" customWidth="1"/>
    <col min="12818" max="12818" width="11.7109375" style="167" customWidth="1"/>
    <col min="12819" max="12819" width="8.85546875" style="167" customWidth="1"/>
    <col min="12820" max="12820" width="12" style="167" customWidth="1"/>
    <col min="12821" max="12826" width="0" style="167" hidden="1" customWidth="1"/>
    <col min="12827" max="12827" width="9.42578125" style="167" customWidth="1"/>
    <col min="12828" max="12828" width="12.140625" style="167" customWidth="1"/>
    <col min="12829" max="12829" width="11.42578125" style="167" customWidth="1"/>
    <col min="12830" max="12830" width="11.28515625" style="167" bestFit="1" customWidth="1"/>
    <col min="12831" max="12831" width="10.85546875" style="167" customWidth="1"/>
    <col min="12832" max="12832" width="11.5703125" style="167" customWidth="1"/>
    <col min="12833" max="12833" width="0" style="167" hidden="1" customWidth="1"/>
    <col min="12834" max="12834" width="8" style="167" customWidth="1"/>
    <col min="12835" max="12835" width="7.28515625" style="167" customWidth="1"/>
    <col min="12836" max="12836" width="18.7109375" style="167" customWidth="1"/>
    <col min="12837" max="12837" width="14.140625" style="167" customWidth="1"/>
    <col min="12838" max="12838" width="11.7109375" style="167" bestFit="1" customWidth="1"/>
    <col min="12839" max="12839" width="10.140625" style="167" bestFit="1" customWidth="1"/>
    <col min="12840" max="13056" width="9" style="167"/>
    <col min="13057" max="13057" width="4.7109375" style="167" customWidth="1"/>
    <col min="13058" max="13058" width="8.140625" style="167" customWidth="1"/>
    <col min="13059" max="13059" width="16" style="167" customWidth="1"/>
    <col min="13060" max="13060" width="13.28515625" style="167" customWidth="1"/>
    <col min="13061" max="13061" width="87.7109375" style="167" customWidth="1"/>
    <col min="13062" max="13062" width="8.28515625" style="167" customWidth="1"/>
    <col min="13063" max="13063" width="0" style="167" hidden="1" customWidth="1"/>
    <col min="13064" max="13064" width="11.5703125" style="167" customWidth="1"/>
    <col min="13065" max="13065" width="11.42578125" style="167" customWidth="1"/>
    <col min="13066" max="13066" width="14.5703125" style="167" customWidth="1"/>
    <col min="13067" max="13067" width="13.5703125" style="167" customWidth="1"/>
    <col min="13068" max="13068" width="14.85546875" style="167" customWidth="1"/>
    <col min="13069" max="13069" width="0" style="167" hidden="1" customWidth="1"/>
    <col min="13070" max="13070" width="14.5703125" style="167" customWidth="1"/>
    <col min="13071" max="13071" width="12.140625" style="167" customWidth="1"/>
    <col min="13072" max="13072" width="13.85546875" style="167" customWidth="1"/>
    <col min="13073" max="13073" width="15.28515625" style="167" customWidth="1"/>
    <col min="13074" max="13074" width="11.7109375" style="167" customWidth="1"/>
    <col min="13075" max="13075" width="8.85546875" style="167" customWidth="1"/>
    <col min="13076" max="13076" width="12" style="167" customWidth="1"/>
    <col min="13077" max="13082" width="0" style="167" hidden="1" customWidth="1"/>
    <col min="13083" max="13083" width="9.42578125" style="167" customWidth="1"/>
    <col min="13084" max="13084" width="12.140625" style="167" customWidth="1"/>
    <col min="13085" max="13085" width="11.42578125" style="167" customWidth="1"/>
    <col min="13086" max="13086" width="11.28515625" style="167" bestFit="1" customWidth="1"/>
    <col min="13087" max="13087" width="10.85546875" style="167" customWidth="1"/>
    <col min="13088" max="13088" width="11.5703125" style="167" customWidth="1"/>
    <col min="13089" max="13089" width="0" style="167" hidden="1" customWidth="1"/>
    <col min="13090" max="13090" width="8" style="167" customWidth="1"/>
    <col min="13091" max="13091" width="7.28515625" style="167" customWidth="1"/>
    <col min="13092" max="13092" width="18.7109375" style="167" customWidth="1"/>
    <col min="13093" max="13093" width="14.140625" style="167" customWidth="1"/>
    <col min="13094" max="13094" width="11.7109375" style="167" bestFit="1" customWidth="1"/>
    <col min="13095" max="13095" width="10.140625" style="167" bestFit="1" customWidth="1"/>
    <col min="13096" max="13312" width="9" style="167"/>
    <col min="13313" max="13313" width="4.7109375" style="167" customWidth="1"/>
    <col min="13314" max="13314" width="8.140625" style="167" customWidth="1"/>
    <col min="13315" max="13315" width="16" style="167" customWidth="1"/>
    <col min="13316" max="13316" width="13.28515625" style="167" customWidth="1"/>
    <col min="13317" max="13317" width="87.7109375" style="167" customWidth="1"/>
    <col min="13318" max="13318" width="8.28515625" style="167" customWidth="1"/>
    <col min="13319" max="13319" width="0" style="167" hidden="1" customWidth="1"/>
    <col min="13320" max="13320" width="11.5703125" style="167" customWidth="1"/>
    <col min="13321" max="13321" width="11.42578125" style="167" customWidth="1"/>
    <col min="13322" max="13322" width="14.5703125" style="167" customWidth="1"/>
    <col min="13323" max="13323" width="13.5703125" style="167" customWidth="1"/>
    <col min="13324" max="13324" width="14.85546875" style="167" customWidth="1"/>
    <col min="13325" max="13325" width="0" style="167" hidden="1" customWidth="1"/>
    <col min="13326" max="13326" width="14.5703125" style="167" customWidth="1"/>
    <col min="13327" max="13327" width="12.140625" style="167" customWidth="1"/>
    <col min="13328" max="13328" width="13.85546875" style="167" customWidth="1"/>
    <col min="13329" max="13329" width="15.28515625" style="167" customWidth="1"/>
    <col min="13330" max="13330" width="11.7109375" style="167" customWidth="1"/>
    <col min="13331" max="13331" width="8.85546875" style="167" customWidth="1"/>
    <col min="13332" max="13332" width="12" style="167" customWidth="1"/>
    <col min="13333" max="13338" width="0" style="167" hidden="1" customWidth="1"/>
    <col min="13339" max="13339" width="9.42578125" style="167" customWidth="1"/>
    <col min="13340" max="13340" width="12.140625" style="167" customWidth="1"/>
    <col min="13341" max="13341" width="11.42578125" style="167" customWidth="1"/>
    <col min="13342" max="13342" width="11.28515625" style="167" bestFit="1" customWidth="1"/>
    <col min="13343" max="13343" width="10.85546875" style="167" customWidth="1"/>
    <col min="13344" max="13344" width="11.5703125" style="167" customWidth="1"/>
    <col min="13345" max="13345" width="0" style="167" hidden="1" customWidth="1"/>
    <col min="13346" max="13346" width="8" style="167" customWidth="1"/>
    <col min="13347" max="13347" width="7.28515625" style="167" customWidth="1"/>
    <col min="13348" max="13348" width="18.7109375" style="167" customWidth="1"/>
    <col min="13349" max="13349" width="14.140625" style="167" customWidth="1"/>
    <col min="13350" max="13350" width="11.7109375" style="167" bestFit="1" customWidth="1"/>
    <col min="13351" max="13351" width="10.140625" style="167" bestFit="1" customWidth="1"/>
    <col min="13352" max="13568" width="9" style="167"/>
    <col min="13569" max="13569" width="4.7109375" style="167" customWidth="1"/>
    <col min="13570" max="13570" width="8.140625" style="167" customWidth="1"/>
    <col min="13571" max="13571" width="16" style="167" customWidth="1"/>
    <col min="13572" max="13572" width="13.28515625" style="167" customWidth="1"/>
    <col min="13573" max="13573" width="87.7109375" style="167" customWidth="1"/>
    <col min="13574" max="13574" width="8.28515625" style="167" customWidth="1"/>
    <col min="13575" max="13575" width="0" style="167" hidden="1" customWidth="1"/>
    <col min="13576" max="13576" width="11.5703125" style="167" customWidth="1"/>
    <col min="13577" max="13577" width="11.42578125" style="167" customWidth="1"/>
    <col min="13578" max="13578" width="14.5703125" style="167" customWidth="1"/>
    <col min="13579" max="13579" width="13.5703125" style="167" customWidth="1"/>
    <col min="13580" max="13580" width="14.85546875" style="167" customWidth="1"/>
    <col min="13581" max="13581" width="0" style="167" hidden="1" customWidth="1"/>
    <col min="13582" max="13582" width="14.5703125" style="167" customWidth="1"/>
    <col min="13583" max="13583" width="12.140625" style="167" customWidth="1"/>
    <col min="13584" max="13584" width="13.85546875" style="167" customWidth="1"/>
    <col min="13585" max="13585" width="15.28515625" style="167" customWidth="1"/>
    <col min="13586" max="13586" width="11.7109375" style="167" customWidth="1"/>
    <col min="13587" max="13587" width="8.85546875" style="167" customWidth="1"/>
    <col min="13588" max="13588" width="12" style="167" customWidth="1"/>
    <col min="13589" max="13594" width="0" style="167" hidden="1" customWidth="1"/>
    <col min="13595" max="13595" width="9.42578125" style="167" customWidth="1"/>
    <col min="13596" max="13596" width="12.140625" style="167" customWidth="1"/>
    <col min="13597" max="13597" width="11.42578125" style="167" customWidth="1"/>
    <col min="13598" max="13598" width="11.28515625" style="167" bestFit="1" customWidth="1"/>
    <col min="13599" max="13599" width="10.85546875" style="167" customWidth="1"/>
    <col min="13600" max="13600" width="11.5703125" style="167" customWidth="1"/>
    <col min="13601" max="13601" width="0" style="167" hidden="1" customWidth="1"/>
    <col min="13602" max="13602" width="8" style="167" customWidth="1"/>
    <col min="13603" max="13603" width="7.28515625" style="167" customWidth="1"/>
    <col min="13604" max="13604" width="18.7109375" style="167" customWidth="1"/>
    <col min="13605" max="13605" width="14.140625" style="167" customWidth="1"/>
    <col min="13606" max="13606" width="11.7109375" style="167" bestFit="1" customWidth="1"/>
    <col min="13607" max="13607" width="10.140625" style="167" bestFit="1" customWidth="1"/>
    <col min="13608" max="13824" width="9" style="167"/>
    <col min="13825" max="13825" width="4.7109375" style="167" customWidth="1"/>
    <col min="13826" max="13826" width="8.140625" style="167" customWidth="1"/>
    <col min="13827" max="13827" width="16" style="167" customWidth="1"/>
    <col min="13828" max="13828" width="13.28515625" style="167" customWidth="1"/>
    <col min="13829" max="13829" width="87.7109375" style="167" customWidth="1"/>
    <col min="13830" max="13830" width="8.28515625" style="167" customWidth="1"/>
    <col min="13831" max="13831" width="0" style="167" hidden="1" customWidth="1"/>
    <col min="13832" max="13832" width="11.5703125" style="167" customWidth="1"/>
    <col min="13833" max="13833" width="11.42578125" style="167" customWidth="1"/>
    <col min="13834" max="13834" width="14.5703125" style="167" customWidth="1"/>
    <col min="13835" max="13835" width="13.5703125" style="167" customWidth="1"/>
    <col min="13836" max="13836" width="14.85546875" style="167" customWidth="1"/>
    <col min="13837" max="13837" width="0" style="167" hidden="1" customWidth="1"/>
    <col min="13838" max="13838" width="14.5703125" style="167" customWidth="1"/>
    <col min="13839" max="13839" width="12.140625" style="167" customWidth="1"/>
    <col min="13840" max="13840" width="13.85546875" style="167" customWidth="1"/>
    <col min="13841" max="13841" width="15.28515625" style="167" customWidth="1"/>
    <col min="13842" max="13842" width="11.7109375" style="167" customWidth="1"/>
    <col min="13843" max="13843" width="8.85546875" style="167" customWidth="1"/>
    <col min="13844" max="13844" width="12" style="167" customWidth="1"/>
    <col min="13845" max="13850" width="0" style="167" hidden="1" customWidth="1"/>
    <col min="13851" max="13851" width="9.42578125" style="167" customWidth="1"/>
    <col min="13852" max="13852" width="12.140625" style="167" customWidth="1"/>
    <col min="13853" max="13853" width="11.42578125" style="167" customWidth="1"/>
    <col min="13854" max="13854" width="11.28515625" style="167" bestFit="1" customWidth="1"/>
    <col min="13855" max="13855" width="10.85546875" style="167" customWidth="1"/>
    <col min="13856" max="13856" width="11.5703125" style="167" customWidth="1"/>
    <col min="13857" max="13857" width="0" style="167" hidden="1" customWidth="1"/>
    <col min="13858" max="13858" width="8" style="167" customWidth="1"/>
    <col min="13859" max="13859" width="7.28515625" style="167" customWidth="1"/>
    <col min="13860" max="13860" width="18.7109375" style="167" customWidth="1"/>
    <col min="13861" max="13861" width="14.140625" style="167" customWidth="1"/>
    <col min="13862" max="13862" width="11.7109375" style="167" bestFit="1" customWidth="1"/>
    <col min="13863" max="13863" width="10.140625" style="167" bestFit="1" customWidth="1"/>
    <col min="13864" max="14080" width="9" style="167"/>
    <col min="14081" max="14081" width="4.7109375" style="167" customWidth="1"/>
    <col min="14082" max="14082" width="8.140625" style="167" customWidth="1"/>
    <col min="14083" max="14083" width="16" style="167" customWidth="1"/>
    <col min="14084" max="14084" width="13.28515625" style="167" customWidth="1"/>
    <col min="14085" max="14085" width="87.7109375" style="167" customWidth="1"/>
    <col min="14086" max="14086" width="8.28515625" style="167" customWidth="1"/>
    <col min="14087" max="14087" width="0" style="167" hidden="1" customWidth="1"/>
    <col min="14088" max="14088" width="11.5703125" style="167" customWidth="1"/>
    <col min="14089" max="14089" width="11.42578125" style="167" customWidth="1"/>
    <col min="14090" max="14090" width="14.5703125" style="167" customWidth="1"/>
    <col min="14091" max="14091" width="13.5703125" style="167" customWidth="1"/>
    <col min="14092" max="14092" width="14.85546875" style="167" customWidth="1"/>
    <col min="14093" max="14093" width="0" style="167" hidden="1" customWidth="1"/>
    <col min="14094" max="14094" width="14.5703125" style="167" customWidth="1"/>
    <col min="14095" max="14095" width="12.140625" style="167" customWidth="1"/>
    <col min="14096" max="14096" width="13.85546875" style="167" customWidth="1"/>
    <col min="14097" max="14097" width="15.28515625" style="167" customWidth="1"/>
    <col min="14098" max="14098" width="11.7109375" style="167" customWidth="1"/>
    <col min="14099" max="14099" width="8.85546875" style="167" customWidth="1"/>
    <col min="14100" max="14100" width="12" style="167" customWidth="1"/>
    <col min="14101" max="14106" width="0" style="167" hidden="1" customWidth="1"/>
    <col min="14107" max="14107" width="9.42578125" style="167" customWidth="1"/>
    <col min="14108" max="14108" width="12.140625" style="167" customWidth="1"/>
    <col min="14109" max="14109" width="11.42578125" style="167" customWidth="1"/>
    <col min="14110" max="14110" width="11.28515625" style="167" bestFit="1" customWidth="1"/>
    <col min="14111" max="14111" width="10.85546875" style="167" customWidth="1"/>
    <col min="14112" max="14112" width="11.5703125" style="167" customWidth="1"/>
    <col min="14113" max="14113" width="0" style="167" hidden="1" customWidth="1"/>
    <col min="14114" max="14114" width="8" style="167" customWidth="1"/>
    <col min="14115" max="14115" width="7.28515625" style="167" customWidth="1"/>
    <col min="14116" max="14116" width="18.7109375" style="167" customWidth="1"/>
    <col min="14117" max="14117" width="14.140625" style="167" customWidth="1"/>
    <col min="14118" max="14118" width="11.7109375" style="167" bestFit="1" customWidth="1"/>
    <col min="14119" max="14119" width="10.140625" style="167" bestFit="1" customWidth="1"/>
    <col min="14120" max="14336" width="9" style="167"/>
    <col min="14337" max="14337" width="4.7109375" style="167" customWidth="1"/>
    <col min="14338" max="14338" width="8.140625" style="167" customWidth="1"/>
    <col min="14339" max="14339" width="16" style="167" customWidth="1"/>
    <col min="14340" max="14340" width="13.28515625" style="167" customWidth="1"/>
    <col min="14341" max="14341" width="87.7109375" style="167" customWidth="1"/>
    <col min="14342" max="14342" width="8.28515625" style="167" customWidth="1"/>
    <col min="14343" max="14343" width="0" style="167" hidden="1" customWidth="1"/>
    <col min="14344" max="14344" width="11.5703125" style="167" customWidth="1"/>
    <col min="14345" max="14345" width="11.42578125" style="167" customWidth="1"/>
    <col min="14346" max="14346" width="14.5703125" style="167" customWidth="1"/>
    <col min="14347" max="14347" width="13.5703125" style="167" customWidth="1"/>
    <col min="14348" max="14348" width="14.85546875" style="167" customWidth="1"/>
    <col min="14349" max="14349" width="0" style="167" hidden="1" customWidth="1"/>
    <col min="14350" max="14350" width="14.5703125" style="167" customWidth="1"/>
    <col min="14351" max="14351" width="12.140625" style="167" customWidth="1"/>
    <col min="14352" max="14352" width="13.85546875" style="167" customWidth="1"/>
    <col min="14353" max="14353" width="15.28515625" style="167" customWidth="1"/>
    <col min="14354" max="14354" width="11.7109375" style="167" customWidth="1"/>
    <col min="14355" max="14355" width="8.85546875" style="167" customWidth="1"/>
    <col min="14356" max="14356" width="12" style="167" customWidth="1"/>
    <col min="14357" max="14362" width="0" style="167" hidden="1" customWidth="1"/>
    <col min="14363" max="14363" width="9.42578125" style="167" customWidth="1"/>
    <col min="14364" max="14364" width="12.140625" style="167" customWidth="1"/>
    <col min="14365" max="14365" width="11.42578125" style="167" customWidth="1"/>
    <col min="14366" max="14366" width="11.28515625" style="167" bestFit="1" customWidth="1"/>
    <col min="14367" max="14367" width="10.85546875" style="167" customWidth="1"/>
    <col min="14368" max="14368" width="11.5703125" style="167" customWidth="1"/>
    <col min="14369" max="14369" width="0" style="167" hidden="1" customWidth="1"/>
    <col min="14370" max="14370" width="8" style="167" customWidth="1"/>
    <col min="14371" max="14371" width="7.28515625" style="167" customWidth="1"/>
    <col min="14372" max="14372" width="18.7109375" style="167" customWidth="1"/>
    <col min="14373" max="14373" width="14.140625" style="167" customWidth="1"/>
    <col min="14374" max="14374" width="11.7109375" style="167" bestFit="1" customWidth="1"/>
    <col min="14375" max="14375" width="10.140625" style="167" bestFit="1" customWidth="1"/>
    <col min="14376" max="14592" width="9" style="167"/>
    <col min="14593" max="14593" width="4.7109375" style="167" customWidth="1"/>
    <col min="14594" max="14594" width="8.140625" style="167" customWidth="1"/>
    <col min="14595" max="14595" width="16" style="167" customWidth="1"/>
    <col min="14596" max="14596" width="13.28515625" style="167" customWidth="1"/>
    <col min="14597" max="14597" width="87.7109375" style="167" customWidth="1"/>
    <col min="14598" max="14598" width="8.28515625" style="167" customWidth="1"/>
    <col min="14599" max="14599" width="0" style="167" hidden="1" customWidth="1"/>
    <col min="14600" max="14600" width="11.5703125" style="167" customWidth="1"/>
    <col min="14601" max="14601" width="11.42578125" style="167" customWidth="1"/>
    <col min="14602" max="14602" width="14.5703125" style="167" customWidth="1"/>
    <col min="14603" max="14603" width="13.5703125" style="167" customWidth="1"/>
    <col min="14604" max="14604" width="14.85546875" style="167" customWidth="1"/>
    <col min="14605" max="14605" width="0" style="167" hidden="1" customWidth="1"/>
    <col min="14606" max="14606" width="14.5703125" style="167" customWidth="1"/>
    <col min="14607" max="14607" width="12.140625" style="167" customWidth="1"/>
    <col min="14608" max="14608" width="13.85546875" style="167" customWidth="1"/>
    <col min="14609" max="14609" width="15.28515625" style="167" customWidth="1"/>
    <col min="14610" max="14610" width="11.7109375" style="167" customWidth="1"/>
    <col min="14611" max="14611" width="8.85546875" style="167" customWidth="1"/>
    <col min="14612" max="14612" width="12" style="167" customWidth="1"/>
    <col min="14613" max="14618" width="0" style="167" hidden="1" customWidth="1"/>
    <col min="14619" max="14619" width="9.42578125" style="167" customWidth="1"/>
    <col min="14620" max="14620" width="12.140625" style="167" customWidth="1"/>
    <col min="14621" max="14621" width="11.42578125" style="167" customWidth="1"/>
    <col min="14622" max="14622" width="11.28515625" style="167" bestFit="1" customWidth="1"/>
    <col min="14623" max="14623" width="10.85546875" style="167" customWidth="1"/>
    <col min="14624" max="14624" width="11.5703125" style="167" customWidth="1"/>
    <col min="14625" max="14625" width="0" style="167" hidden="1" customWidth="1"/>
    <col min="14626" max="14626" width="8" style="167" customWidth="1"/>
    <col min="14627" max="14627" width="7.28515625" style="167" customWidth="1"/>
    <col min="14628" max="14628" width="18.7109375" style="167" customWidth="1"/>
    <col min="14629" max="14629" width="14.140625" style="167" customWidth="1"/>
    <col min="14630" max="14630" width="11.7109375" style="167" bestFit="1" customWidth="1"/>
    <col min="14631" max="14631" width="10.140625" style="167" bestFit="1" customWidth="1"/>
    <col min="14632" max="14848" width="9" style="167"/>
    <col min="14849" max="14849" width="4.7109375" style="167" customWidth="1"/>
    <col min="14850" max="14850" width="8.140625" style="167" customWidth="1"/>
    <col min="14851" max="14851" width="16" style="167" customWidth="1"/>
    <col min="14852" max="14852" width="13.28515625" style="167" customWidth="1"/>
    <col min="14853" max="14853" width="87.7109375" style="167" customWidth="1"/>
    <col min="14854" max="14854" width="8.28515625" style="167" customWidth="1"/>
    <col min="14855" max="14855" width="0" style="167" hidden="1" customWidth="1"/>
    <col min="14856" max="14856" width="11.5703125" style="167" customWidth="1"/>
    <col min="14857" max="14857" width="11.42578125" style="167" customWidth="1"/>
    <col min="14858" max="14858" width="14.5703125" style="167" customWidth="1"/>
    <col min="14859" max="14859" width="13.5703125" style="167" customWidth="1"/>
    <col min="14860" max="14860" width="14.85546875" style="167" customWidth="1"/>
    <col min="14861" max="14861" width="0" style="167" hidden="1" customWidth="1"/>
    <col min="14862" max="14862" width="14.5703125" style="167" customWidth="1"/>
    <col min="14863" max="14863" width="12.140625" style="167" customWidth="1"/>
    <col min="14864" max="14864" width="13.85546875" style="167" customWidth="1"/>
    <col min="14865" max="14865" width="15.28515625" style="167" customWidth="1"/>
    <col min="14866" max="14866" width="11.7109375" style="167" customWidth="1"/>
    <col min="14867" max="14867" width="8.85546875" style="167" customWidth="1"/>
    <col min="14868" max="14868" width="12" style="167" customWidth="1"/>
    <col min="14869" max="14874" width="0" style="167" hidden="1" customWidth="1"/>
    <col min="14875" max="14875" width="9.42578125" style="167" customWidth="1"/>
    <col min="14876" max="14876" width="12.140625" style="167" customWidth="1"/>
    <col min="14877" max="14877" width="11.42578125" style="167" customWidth="1"/>
    <col min="14878" max="14878" width="11.28515625" style="167" bestFit="1" customWidth="1"/>
    <col min="14879" max="14879" width="10.85546875" style="167" customWidth="1"/>
    <col min="14880" max="14880" width="11.5703125" style="167" customWidth="1"/>
    <col min="14881" max="14881" width="0" style="167" hidden="1" customWidth="1"/>
    <col min="14882" max="14882" width="8" style="167" customWidth="1"/>
    <col min="14883" max="14883" width="7.28515625" style="167" customWidth="1"/>
    <col min="14884" max="14884" width="18.7109375" style="167" customWidth="1"/>
    <col min="14885" max="14885" width="14.140625" style="167" customWidth="1"/>
    <col min="14886" max="14886" width="11.7109375" style="167" bestFit="1" customWidth="1"/>
    <col min="14887" max="14887" width="10.140625" style="167" bestFit="1" customWidth="1"/>
    <col min="14888" max="15104" width="9" style="167"/>
    <col min="15105" max="15105" width="4.7109375" style="167" customWidth="1"/>
    <col min="15106" max="15106" width="8.140625" style="167" customWidth="1"/>
    <col min="15107" max="15107" width="16" style="167" customWidth="1"/>
    <col min="15108" max="15108" width="13.28515625" style="167" customWidth="1"/>
    <col min="15109" max="15109" width="87.7109375" style="167" customWidth="1"/>
    <col min="15110" max="15110" width="8.28515625" style="167" customWidth="1"/>
    <col min="15111" max="15111" width="0" style="167" hidden="1" customWidth="1"/>
    <col min="15112" max="15112" width="11.5703125" style="167" customWidth="1"/>
    <col min="15113" max="15113" width="11.42578125" style="167" customWidth="1"/>
    <col min="15114" max="15114" width="14.5703125" style="167" customWidth="1"/>
    <col min="15115" max="15115" width="13.5703125" style="167" customWidth="1"/>
    <col min="15116" max="15116" width="14.85546875" style="167" customWidth="1"/>
    <col min="15117" max="15117" width="0" style="167" hidden="1" customWidth="1"/>
    <col min="15118" max="15118" width="14.5703125" style="167" customWidth="1"/>
    <col min="15119" max="15119" width="12.140625" style="167" customWidth="1"/>
    <col min="15120" max="15120" width="13.85546875" style="167" customWidth="1"/>
    <col min="15121" max="15121" width="15.28515625" style="167" customWidth="1"/>
    <col min="15122" max="15122" width="11.7109375" style="167" customWidth="1"/>
    <col min="15123" max="15123" width="8.85546875" style="167" customWidth="1"/>
    <col min="15124" max="15124" width="12" style="167" customWidth="1"/>
    <col min="15125" max="15130" width="0" style="167" hidden="1" customWidth="1"/>
    <col min="15131" max="15131" width="9.42578125" style="167" customWidth="1"/>
    <col min="15132" max="15132" width="12.140625" style="167" customWidth="1"/>
    <col min="15133" max="15133" width="11.42578125" style="167" customWidth="1"/>
    <col min="15134" max="15134" width="11.28515625" style="167" bestFit="1" customWidth="1"/>
    <col min="15135" max="15135" width="10.85546875" style="167" customWidth="1"/>
    <col min="15136" max="15136" width="11.5703125" style="167" customWidth="1"/>
    <col min="15137" max="15137" width="0" style="167" hidden="1" customWidth="1"/>
    <col min="15138" max="15138" width="8" style="167" customWidth="1"/>
    <col min="15139" max="15139" width="7.28515625" style="167" customWidth="1"/>
    <col min="15140" max="15140" width="18.7109375" style="167" customWidth="1"/>
    <col min="15141" max="15141" width="14.140625" style="167" customWidth="1"/>
    <col min="15142" max="15142" width="11.7109375" style="167" bestFit="1" customWidth="1"/>
    <col min="15143" max="15143" width="10.140625" style="167" bestFit="1" customWidth="1"/>
    <col min="15144" max="15360" width="9" style="167"/>
    <col min="15361" max="15361" width="4.7109375" style="167" customWidth="1"/>
    <col min="15362" max="15362" width="8.140625" style="167" customWidth="1"/>
    <col min="15363" max="15363" width="16" style="167" customWidth="1"/>
    <col min="15364" max="15364" width="13.28515625" style="167" customWidth="1"/>
    <col min="15365" max="15365" width="87.7109375" style="167" customWidth="1"/>
    <col min="15366" max="15366" width="8.28515625" style="167" customWidth="1"/>
    <col min="15367" max="15367" width="0" style="167" hidden="1" customWidth="1"/>
    <col min="15368" max="15368" width="11.5703125" style="167" customWidth="1"/>
    <col min="15369" max="15369" width="11.42578125" style="167" customWidth="1"/>
    <col min="15370" max="15370" width="14.5703125" style="167" customWidth="1"/>
    <col min="15371" max="15371" width="13.5703125" style="167" customWidth="1"/>
    <col min="15372" max="15372" width="14.85546875" style="167" customWidth="1"/>
    <col min="15373" max="15373" width="0" style="167" hidden="1" customWidth="1"/>
    <col min="15374" max="15374" width="14.5703125" style="167" customWidth="1"/>
    <col min="15375" max="15375" width="12.140625" style="167" customWidth="1"/>
    <col min="15376" max="15376" width="13.85546875" style="167" customWidth="1"/>
    <col min="15377" max="15377" width="15.28515625" style="167" customWidth="1"/>
    <col min="15378" max="15378" width="11.7109375" style="167" customWidth="1"/>
    <col min="15379" max="15379" width="8.85546875" style="167" customWidth="1"/>
    <col min="15380" max="15380" width="12" style="167" customWidth="1"/>
    <col min="15381" max="15386" width="0" style="167" hidden="1" customWidth="1"/>
    <col min="15387" max="15387" width="9.42578125" style="167" customWidth="1"/>
    <col min="15388" max="15388" width="12.140625" style="167" customWidth="1"/>
    <col min="15389" max="15389" width="11.42578125" style="167" customWidth="1"/>
    <col min="15390" max="15390" width="11.28515625" style="167" bestFit="1" customWidth="1"/>
    <col min="15391" max="15391" width="10.85546875" style="167" customWidth="1"/>
    <col min="15392" max="15392" width="11.5703125" style="167" customWidth="1"/>
    <col min="15393" max="15393" width="0" style="167" hidden="1" customWidth="1"/>
    <col min="15394" max="15394" width="8" style="167" customWidth="1"/>
    <col min="15395" max="15395" width="7.28515625" style="167" customWidth="1"/>
    <col min="15396" max="15396" width="18.7109375" style="167" customWidth="1"/>
    <col min="15397" max="15397" width="14.140625" style="167" customWidth="1"/>
    <col min="15398" max="15398" width="11.7109375" style="167" bestFit="1" customWidth="1"/>
    <col min="15399" max="15399" width="10.140625" style="167" bestFit="1" customWidth="1"/>
    <col min="15400" max="15616" width="9" style="167"/>
    <col min="15617" max="15617" width="4.7109375" style="167" customWidth="1"/>
    <col min="15618" max="15618" width="8.140625" style="167" customWidth="1"/>
    <col min="15619" max="15619" width="16" style="167" customWidth="1"/>
    <col min="15620" max="15620" width="13.28515625" style="167" customWidth="1"/>
    <col min="15621" max="15621" width="87.7109375" style="167" customWidth="1"/>
    <col min="15622" max="15622" width="8.28515625" style="167" customWidth="1"/>
    <col min="15623" max="15623" width="0" style="167" hidden="1" customWidth="1"/>
    <col min="15624" max="15624" width="11.5703125" style="167" customWidth="1"/>
    <col min="15625" max="15625" width="11.42578125" style="167" customWidth="1"/>
    <col min="15626" max="15626" width="14.5703125" style="167" customWidth="1"/>
    <col min="15627" max="15627" width="13.5703125" style="167" customWidth="1"/>
    <col min="15628" max="15628" width="14.85546875" style="167" customWidth="1"/>
    <col min="15629" max="15629" width="0" style="167" hidden="1" customWidth="1"/>
    <col min="15630" max="15630" width="14.5703125" style="167" customWidth="1"/>
    <col min="15631" max="15631" width="12.140625" style="167" customWidth="1"/>
    <col min="15632" max="15632" width="13.85546875" style="167" customWidth="1"/>
    <col min="15633" max="15633" width="15.28515625" style="167" customWidth="1"/>
    <col min="15634" max="15634" width="11.7109375" style="167" customWidth="1"/>
    <col min="15635" max="15635" width="8.85546875" style="167" customWidth="1"/>
    <col min="15636" max="15636" width="12" style="167" customWidth="1"/>
    <col min="15637" max="15642" width="0" style="167" hidden="1" customWidth="1"/>
    <col min="15643" max="15643" width="9.42578125" style="167" customWidth="1"/>
    <col min="15644" max="15644" width="12.140625" style="167" customWidth="1"/>
    <col min="15645" max="15645" width="11.42578125" style="167" customWidth="1"/>
    <col min="15646" max="15646" width="11.28515625" style="167" bestFit="1" customWidth="1"/>
    <col min="15647" max="15647" width="10.85546875" style="167" customWidth="1"/>
    <col min="15648" max="15648" width="11.5703125" style="167" customWidth="1"/>
    <col min="15649" max="15649" width="0" style="167" hidden="1" customWidth="1"/>
    <col min="15650" max="15650" width="8" style="167" customWidth="1"/>
    <col min="15651" max="15651" width="7.28515625" style="167" customWidth="1"/>
    <col min="15652" max="15652" width="18.7109375" style="167" customWidth="1"/>
    <col min="15653" max="15653" width="14.140625" style="167" customWidth="1"/>
    <col min="15654" max="15654" width="11.7109375" style="167" bestFit="1" customWidth="1"/>
    <col min="15655" max="15655" width="10.140625" style="167" bestFit="1" customWidth="1"/>
    <col min="15656" max="15872" width="9" style="167"/>
    <col min="15873" max="15873" width="4.7109375" style="167" customWidth="1"/>
    <col min="15874" max="15874" width="8.140625" style="167" customWidth="1"/>
    <col min="15875" max="15875" width="16" style="167" customWidth="1"/>
    <col min="15876" max="15876" width="13.28515625" style="167" customWidth="1"/>
    <col min="15877" max="15877" width="87.7109375" style="167" customWidth="1"/>
    <col min="15878" max="15878" width="8.28515625" style="167" customWidth="1"/>
    <col min="15879" max="15879" width="0" style="167" hidden="1" customWidth="1"/>
    <col min="15880" max="15880" width="11.5703125" style="167" customWidth="1"/>
    <col min="15881" max="15881" width="11.42578125" style="167" customWidth="1"/>
    <col min="15882" max="15882" width="14.5703125" style="167" customWidth="1"/>
    <col min="15883" max="15883" width="13.5703125" style="167" customWidth="1"/>
    <col min="15884" max="15884" width="14.85546875" style="167" customWidth="1"/>
    <col min="15885" max="15885" width="0" style="167" hidden="1" customWidth="1"/>
    <col min="15886" max="15886" width="14.5703125" style="167" customWidth="1"/>
    <col min="15887" max="15887" width="12.140625" style="167" customWidth="1"/>
    <col min="15888" max="15888" width="13.85546875" style="167" customWidth="1"/>
    <col min="15889" max="15889" width="15.28515625" style="167" customWidth="1"/>
    <col min="15890" max="15890" width="11.7109375" style="167" customWidth="1"/>
    <col min="15891" max="15891" width="8.85546875" style="167" customWidth="1"/>
    <col min="15892" max="15892" width="12" style="167" customWidth="1"/>
    <col min="15893" max="15898" width="0" style="167" hidden="1" customWidth="1"/>
    <col min="15899" max="15899" width="9.42578125" style="167" customWidth="1"/>
    <col min="15900" max="15900" width="12.140625" style="167" customWidth="1"/>
    <col min="15901" max="15901" width="11.42578125" style="167" customWidth="1"/>
    <col min="15902" max="15902" width="11.28515625" style="167" bestFit="1" customWidth="1"/>
    <col min="15903" max="15903" width="10.85546875" style="167" customWidth="1"/>
    <col min="15904" max="15904" width="11.5703125" style="167" customWidth="1"/>
    <col min="15905" max="15905" width="0" style="167" hidden="1" customWidth="1"/>
    <col min="15906" max="15906" width="8" style="167" customWidth="1"/>
    <col min="15907" max="15907" width="7.28515625" style="167" customWidth="1"/>
    <col min="15908" max="15908" width="18.7109375" style="167" customWidth="1"/>
    <col min="15909" max="15909" width="14.140625" style="167" customWidth="1"/>
    <col min="15910" max="15910" width="11.7109375" style="167" bestFit="1" customWidth="1"/>
    <col min="15911" max="15911" width="10.140625" style="167" bestFit="1" customWidth="1"/>
    <col min="15912" max="16128" width="9" style="167"/>
    <col min="16129" max="16129" width="4.7109375" style="167" customWidth="1"/>
    <col min="16130" max="16130" width="8.140625" style="167" customWidth="1"/>
    <col min="16131" max="16131" width="16" style="167" customWidth="1"/>
    <col min="16132" max="16132" width="13.28515625" style="167" customWidth="1"/>
    <col min="16133" max="16133" width="87.7109375" style="167" customWidth="1"/>
    <col min="16134" max="16134" width="8.28515625" style="167" customWidth="1"/>
    <col min="16135" max="16135" width="0" style="167" hidden="1" customWidth="1"/>
    <col min="16136" max="16136" width="11.5703125" style="167" customWidth="1"/>
    <col min="16137" max="16137" width="11.42578125" style="167" customWidth="1"/>
    <col min="16138" max="16138" width="14.5703125" style="167" customWidth="1"/>
    <col min="16139" max="16139" width="13.5703125" style="167" customWidth="1"/>
    <col min="16140" max="16140" width="14.85546875" style="167" customWidth="1"/>
    <col min="16141" max="16141" width="0" style="167" hidden="1" customWidth="1"/>
    <col min="16142" max="16142" width="14.5703125" style="167" customWidth="1"/>
    <col min="16143" max="16143" width="12.140625" style="167" customWidth="1"/>
    <col min="16144" max="16144" width="13.85546875" style="167" customWidth="1"/>
    <col min="16145" max="16145" width="15.28515625" style="167" customWidth="1"/>
    <col min="16146" max="16146" width="11.7109375" style="167" customWidth="1"/>
    <col min="16147" max="16147" width="8.85546875" style="167" customWidth="1"/>
    <col min="16148" max="16148" width="12" style="167" customWidth="1"/>
    <col min="16149" max="16154" width="0" style="167" hidden="1" customWidth="1"/>
    <col min="16155" max="16155" width="9.42578125" style="167" customWidth="1"/>
    <col min="16156" max="16156" width="12.140625" style="167" customWidth="1"/>
    <col min="16157" max="16157" width="11.42578125" style="167" customWidth="1"/>
    <col min="16158" max="16158" width="11.28515625" style="167" bestFit="1" customWidth="1"/>
    <col min="16159" max="16159" width="10.85546875" style="167" customWidth="1"/>
    <col min="16160" max="16160" width="11.5703125" style="167" customWidth="1"/>
    <col min="16161" max="16161" width="0" style="167" hidden="1" customWidth="1"/>
    <col min="16162" max="16162" width="8" style="167" customWidth="1"/>
    <col min="16163" max="16163" width="7.28515625" style="167" customWidth="1"/>
    <col min="16164" max="16164" width="18.7109375" style="167" customWidth="1"/>
    <col min="16165" max="16165" width="14.140625" style="167" customWidth="1"/>
    <col min="16166" max="16166" width="11.7109375" style="167" bestFit="1" customWidth="1"/>
    <col min="16167" max="16167" width="10.140625" style="167" bestFit="1" customWidth="1"/>
    <col min="16168" max="16384" width="9" style="167"/>
  </cols>
  <sheetData>
    <row r="2" spans="1:37" ht="54">
      <c r="A2" s="418" t="s">
        <v>513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296"/>
    </row>
    <row r="3" spans="1:37" ht="42" hidden="1" customHeight="1">
      <c r="A3" s="396" t="s">
        <v>509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491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168"/>
      <c r="AG3" s="168"/>
      <c r="AH3" s="168"/>
      <c r="AI3" s="168"/>
    </row>
    <row r="4" spans="1:37" ht="25.5" customHeight="1" thickBot="1">
      <c r="A4" s="169"/>
      <c r="B4" s="170"/>
      <c r="C4" s="171"/>
      <c r="D4" s="172"/>
      <c r="E4" s="173"/>
      <c r="F4" s="170"/>
      <c r="G4" s="170"/>
      <c r="H4" s="170"/>
      <c r="I4" s="170"/>
      <c r="J4" s="170"/>
      <c r="K4" s="170"/>
      <c r="L4" s="174"/>
      <c r="M4" s="174"/>
      <c r="N4" s="170"/>
      <c r="O4" s="170"/>
      <c r="P4" s="170"/>
      <c r="Q4" s="171"/>
      <c r="R4" s="171"/>
      <c r="S4" s="171"/>
      <c r="T4" s="171"/>
      <c r="AE4" s="419" t="s">
        <v>0</v>
      </c>
      <c r="AF4" s="419"/>
      <c r="AG4" s="419"/>
      <c r="AH4" s="419"/>
      <c r="AI4" s="419"/>
    </row>
    <row r="5" spans="1:37" ht="18" thickBot="1">
      <c r="A5" s="420" t="s">
        <v>1</v>
      </c>
      <c r="B5" s="485" t="s">
        <v>15</v>
      </c>
      <c r="C5" s="486"/>
      <c r="D5" s="482" t="s">
        <v>31</v>
      </c>
      <c r="E5" s="423" t="s">
        <v>2</v>
      </c>
      <c r="F5" s="405" t="s">
        <v>3</v>
      </c>
      <c r="G5" s="295" t="s">
        <v>4</v>
      </c>
      <c r="H5" s="415" t="s">
        <v>5</v>
      </c>
      <c r="I5" s="417"/>
      <c r="J5" s="397" t="s">
        <v>6</v>
      </c>
      <c r="K5" s="397"/>
      <c r="L5" s="397"/>
      <c r="M5" s="295" t="s">
        <v>4</v>
      </c>
      <c r="N5" s="405" t="s">
        <v>7</v>
      </c>
      <c r="O5" s="405"/>
      <c r="P5" s="405"/>
      <c r="Q5" s="430" t="s">
        <v>8</v>
      </c>
      <c r="R5" s="431"/>
      <c r="S5" s="431"/>
      <c r="T5" s="431"/>
      <c r="U5" s="405" t="s">
        <v>9</v>
      </c>
      <c r="V5" s="411"/>
      <c r="W5" s="411"/>
      <c r="X5" s="405" t="s">
        <v>10</v>
      </c>
      <c r="Y5" s="411"/>
      <c r="Z5" s="411"/>
      <c r="AA5" s="413" t="s">
        <v>11</v>
      </c>
      <c r="AB5" s="415" t="s">
        <v>12</v>
      </c>
      <c r="AC5" s="416"/>
      <c r="AD5" s="416"/>
      <c r="AE5" s="416"/>
      <c r="AF5" s="417"/>
      <c r="AG5" s="295" t="s">
        <v>4</v>
      </c>
      <c r="AH5" s="433" t="s">
        <v>13</v>
      </c>
      <c r="AI5" s="435" t="s">
        <v>14</v>
      </c>
    </row>
    <row r="6" spans="1:37" ht="18" thickBot="1">
      <c r="A6" s="421"/>
      <c r="B6" s="487"/>
      <c r="C6" s="488"/>
      <c r="D6" s="483"/>
      <c r="E6" s="424"/>
      <c r="F6" s="426"/>
      <c r="G6" s="414" t="s">
        <v>16</v>
      </c>
      <c r="H6" s="428"/>
      <c r="I6" s="429"/>
      <c r="J6" s="398"/>
      <c r="K6" s="398"/>
      <c r="L6" s="398"/>
      <c r="M6" s="438" t="s">
        <v>6</v>
      </c>
      <c r="N6" s="440" t="s">
        <v>17</v>
      </c>
      <c r="O6" s="440"/>
      <c r="P6" s="440"/>
      <c r="Q6" s="432"/>
      <c r="R6" s="432"/>
      <c r="S6" s="432"/>
      <c r="T6" s="432"/>
      <c r="U6" s="412"/>
      <c r="V6" s="412"/>
      <c r="W6" s="412"/>
      <c r="X6" s="412"/>
      <c r="Y6" s="412"/>
      <c r="Z6" s="412"/>
      <c r="AA6" s="414"/>
      <c r="AB6" s="441" t="s">
        <v>18</v>
      </c>
      <c r="AC6" s="442"/>
      <c r="AD6" s="443"/>
      <c r="AE6" s="492" t="s">
        <v>19</v>
      </c>
      <c r="AF6" s="407" t="s">
        <v>20</v>
      </c>
      <c r="AG6" s="405" t="s">
        <v>21</v>
      </c>
      <c r="AH6" s="434"/>
      <c r="AI6" s="436"/>
    </row>
    <row r="7" spans="1:37" ht="17.25" customHeight="1">
      <c r="A7" s="421"/>
      <c r="B7" s="489"/>
      <c r="C7" s="490"/>
      <c r="D7" s="483"/>
      <c r="E7" s="424"/>
      <c r="F7" s="426"/>
      <c r="G7" s="414"/>
      <c r="H7" s="405" t="s">
        <v>22</v>
      </c>
      <c r="I7" s="405" t="s">
        <v>23</v>
      </c>
      <c r="J7" s="397" t="s">
        <v>18</v>
      </c>
      <c r="K7" s="397" t="s">
        <v>19</v>
      </c>
      <c r="L7" s="397" t="s">
        <v>24</v>
      </c>
      <c r="M7" s="438"/>
      <c r="N7" s="397" t="s">
        <v>18</v>
      </c>
      <c r="O7" s="397" t="s">
        <v>19</v>
      </c>
      <c r="P7" s="397" t="s">
        <v>24</v>
      </c>
      <c r="Q7" s="397" t="s">
        <v>18</v>
      </c>
      <c r="R7" s="397" t="s">
        <v>19</v>
      </c>
      <c r="S7" s="397" t="s">
        <v>25</v>
      </c>
      <c r="T7" s="397" t="s">
        <v>24</v>
      </c>
      <c r="U7" s="397" t="s">
        <v>18</v>
      </c>
      <c r="V7" s="397" t="s">
        <v>19</v>
      </c>
      <c r="W7" s="397" t="s">
        <v>24</v>
      </c>
      <c r="X7" s="397" t="s">
        <v>18</v>
      </c>
      <c r="Y7" s="397" t="s">
        <v>19</v>
      </c>
      <c r="Z7" s="397" t="s">
        <v>24</v>
      </c>
      <c r="AA7" s="397" t="s">
        <v>18</v>
      </c>
      <c r="AB7" s="403" t="s">
        <v>26</v>
      </c>
      <c r="AC7" s="405" t="s">
        <v>21</v>
      </c>
      <c r="AD7" s="397" t="s">
        <v>24</v>
      </c>
      <c r="AE7" s="493"/>
      <c r="AF7" s="408"/>
      <c r="AG7" s="410"/>
      <c r="AH7" s="399" t="s">
        <v>27</v>
      </c>
      <c r="AI7" s="401" t="s">
        <v>28</v>
      </c>
    </row>
    <row r="8" spans="1:37" ht="43.5" customHeight="1" thickBot="1">
      <c r="A8" s="422"/>
      <c r="B8" s="175" t="s">
        <v>29</v>
      </c>
      <c r="C8" s="176" t="s">
        <v>30</v>
      </c>
      <c r="D8" s="484"/>
      <c r="E8" s="425"/>
      <c r="F8" s="427"/>
      <c r="G8" s="437"/>
      <c r="H8" s="406"/>
      <c r="I8" s="406"/>
      <c r="J8" s="398"/>
      <c r="K8" s="398"/>
      <c r="L8" s="398"/>
      <c r="M8" s="439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404"/>
      <c r="AC8" s="406"/>
      <c r="AD8" s="398"/>
      <c r="AE8" s="494"/>
      <c r="AF8" s="409"/>
      <c r="AG8" s="406"/>
      <c r="AH8" s="400"/>
      <c r="AI8" s="402"/>
      <c r="AJ8" s="183"/>
      <c r="AK8" s="183"/>
    </row>
    <row r="9" spans="1:37" ht="15.75" thickBot="1">
      <c r="A9" s="177">
        <v>1</v>
      </c>
      <c r="B9" s="178">
        <v>2</v>
      </c>
      <c r="C9" s="179">
        <v>3</v>
      </c>
      <c r="D9" s="180">
        <v>4</v>
      </c>
      <c r="E9" s="180">
        <v>5</v>
      </c>
      <c r="F9" s="179">
        <v>6</v>
      </c>
      <c r="G9" s="179"/>
      <c r="H9" s="179">
        <v>7</v>
      </c>
      <c r="I9" s="179">
        <v>8</v>
      </c>
      <c r="J9" s="179">
        <v>9</v>
      </c>
      <c r="K9" s="179">
        <v>10</v>
      </c>
      <c r="L9" s="179">
        <v>11</v>
      </c>
      <c r="M9" s="179"/>
      <c r="N9" s="179">
        <v>12</v>
      </c>
      <c r="O9" s="179">
        <v>13</v>
      </c>
      <c r="P9" s="179">
        <v>14</v>
      </c>
      <c r="Q9" s="179">
        <v>15</v>
      </c>
      <c r="R9" s="179">
        <v>16</v>
      </c>
      <c r="S9" s="179">
        <v>17</v>
      </c>
      <c r="T9" s="179">
        <v>18</v>
      </c>
      <c r="U9" s="179">
        <v>19</v>
      </c>
      <c r="V9" s="179">
        <v>20</v>
      </c>
      <c r="W9" s="179">
        <v>21</v>
      </c>
      <c r="X9" s="179">
        <v>22</v>
      </c>
      <c r="Y9" s="179">
        <v>23</v>
      </c>
      <c r="Z9" s="179">
        <v>24</v>
      </c>
      <c r="AA9" s="179">
        <v>19</v>
      </c>
      <c r="AB9" s="179">
        <v>19</v>
      </c>
      <c r="AC9" s="179">
        <v>20</v>
      </c>
      <c r="AD9" s="179">
        <v>21</v>
      </c>
      <c r="AE9" s="390">
        <v>22</v>
      </c>
      <c r="AF9" s="179">
        <v>23</v>
      </c>
      <c r="AG9" s="179"/>
      <c r="AH9" s="179">
        <v>24</v>
      </c>
      <c r="AI9" s="181">
        <v>25</v>
      </c>
    </row>
    <row r="10" spans="1:37" ht="23.25">
      <c r="A10" s="185">
        <v>1</v>
      </c>
      <c r="B10" s="186" t="s">
        <v>38</v>
      </c>
      <c r="C10" s="186" t="s">
        <v>39</v>
      </c>
      <c r="D10" s="186" t="s">
        <v>40</v>
      </c>
      <c r="E10" s="187" t="s">
        <v>41</v>
      </c>
      <c r="F10" s="188">
        <v>1</v>
      </c>
      <c r="G10" s="188"/>
      <c r="H10" s="189" t="s">
        <v>270</v>
      </c>
      <c r="I10" s="189" t="s">
        <v>270</v>
      </c>
      <c r="J10" s="190">
        <v>1787</v>
      </c>
      <c r="K10" s="190">
        <v>49733.599999999999</v>
      </c>
      <c r="L10" s="191">
        <f>SUM(J10:K10)</f>
        <v>51520.6</v>
      </c>
      <c r="M10" s="191"/>
      <c r="N10" s="190">
        <v>1450</v>
      </c>
      <c r="O10" s="190">
        <v>49733.599999999999</v>
      </c>
      <c r="P10" s="191">
        <f>SUM(N10:O10)</f>
        <v>51183.6</v>
      </c>
      <c r="Q10" s="191">
        <v>1450</v>
      </c>
      <c r="R10" s="190">
        <v>49733.599999999999</v>
      </c>
      <c r="S10" s="191"/>
      <c r="T10" s="192">
        <f>SUM(Q10:S10)</f>
        <v>51183.6</v>
      </c>
      <c r="U10" s="191">
        <f>J10-Q10-S10</f>
        <v>337</v>
      </c>
      <c r="V10" s="191">
        <f>K10-R10</f>
        <v>0</v>
      </c>
      <c r="W10" s="191">
        <f>SUM(U10:V10)</f>
        <v>337</v>
      </c>
      <c r="X10" s="191">
        <f>N10-Q10-S10</f>
        <v>0</v>
      </c>
      <c r="Y10" s="191">
        <f>O10-R10</f>
        <v>0</v>
      </c>
      <c r="Z10" s="191">
        <f>SUM(X10:Y10)</f>
        <v>0</v>
      </c>
      <c r="AA10" s="191"/>
      <c r="AB10" s="191"/>
      <c r="AC10" s="191">
        <v>100</v>
      </c>
      <c r="AD10" s="192">
        <f t="shared" ref="AD10:AD17" si="0">AB10+AC10</f>
        <v>100</v>
      </c>
      <c r="AE10" s="391">
        <v>0</v>
      </c>
      <c r="AF10" s="192">
        <f t="shared" ref="AF10:AF17" si="1">AD10+AE10</f>
        <v>100</v>
      </c>
      <c r="AG10" s="192"/>
      <c r="AH10" s="193"/>
      <c r="AI10" s="194"/>
      <c r="AJ10" s="183"/>
    </row>
    <row r="11" spans="1:37" ht="23.25" hidden="1">
      <c r="A11" s="195">
        <v>1</v>
      </c>
      <c r="B11" s="196" t="s">
        <v>38</v>
      </c>
      <c r="C11" s="196" t="s">
        <v>466</v>
      </c>
      <c r="D11" s="196" t="s">
        <v>44</v>
      </c>
      <c r="E11" s="197" t="s">
        <v>467</v>
      </c>
      <c r="F11" s="198">
        <v>1</v>
      </c>
      <c r="G11" s="198"/>
      <c r="H11" s="199" t="s">
        <v>471</v>
      </c>
      <c r="I11" s="199" t="s">
        <v>471</v>
      </c>
      <c r="J11" s="200">
        <f>SUM(J12:J14)</f>
        <v>161771.51</v>
      </c>
      <c r="K11" s="300">
        <f t="shared" ref="K11:AB11" si="2">SUM(K12:K14)</f>
        <v>0</v>
      </c>
      <c r="L11" s="200">
        <f t="shared" si="2"/>
        <v>161771.51</v>
      </c>
      <c r="M11" s="200">
        <f t="shared" si="2"/>
        <v>0</v>
      </c>
      <c r="N11" s="200">
        <f t="shared" si="2"/>
        <v>30590.7</v>
      </c>
      <c r="O11" s="300">
        <f t="shared" si="2"/>
        <v>0</v>
      </c>
      <c r="P11" s="200">
        <f t="shared" si="2"/>
        <v>30590.7</v>
      </c>
      <c r="Q11" s="200">
        <f t="shared" si="2"/>
        <v>7000</v>
      </c>
      <c r="R11" s="200">
        <f t="shared" si="2"/>
        <v>0</v>
      </c>
      <c r="S11" s="200">
        <f t="shared" si="2"/>
        <v>0</v>
      </c>
      <c r="T11" s="200">
        <f t="shared" si="2"/>
        <v>7000</v>
      </c>
      <c r="U11" s="200">
        <f t="shared" si="2"/>
        <v>0</v>
      </c>
      <c r="V11" s="200">
        <f t="shared" si="2"/>
        <v>0</v>
      </c>
      <c r="W11" s="200">
        <f t="shared" si="2"/>
        <v>0</v>
      </c>
      <c r="X11" s="200">
        <f t="shared" si="2"/>
        <v>0</v>
      </c>
      <c r="Y11" s="200">
        <f t="shared" si="2"/>
        <v>0</v>
      </c>
      <c r="Z11" s="200">
        <f t="shared" si="2"/>
        <v>0</v>
      </c>
      <c r="AA11" s="200">
        <f t="shared" si="2"/>
        <v>0</v>
      </c>
      <c r="AB11" s="200">
        <f t="shared" si="2"/>
        <v>0</v>
      </c>
      <c r="AC11" s="200">
        <v>2500</v>
      </c>
      <c r="AD11" s="192">
        <f t="shared" ref="AD11" si="3">AB11+AC11</f>
        <v>2500</v>
      </c>
      <c r="AE11" s="314">
        <v>0</v>
      </c>
      <c r="AF11" s="192">
        <f t="shared" ref="AF11" si="4">AD11+AE11</f>
        <v>2500</v>
      </c>
      <c r="AG11" s="201"/>
      <c r="AH11" s="201"/>
      <c r="AI11" s="202"/>
      <c r="AJ11" s="183">
        <f>J11-Q11-AD11</f>
        <v>152271.51</v>
      </c>
    </row>
    <row r="12" spans="1:37" ht="23.25" hidden="1">
      <c r="A12" s="203"/>
      <c r="B12" s="204"/>
      <c r="C12" s="204"/>
      <c r="D12" s="204"/>
      <c r="E12" s="205" t="s">
        <v>468</v>
      </c>
      <c r="F12" s="206"/>
      <c r="G12" s="206"/>
      <c r="H12" s="207"/>
      <c r="I12" s="207"/>
      <c r="J12" s="208">
        <v>56888.46</v>
      </c>
      <c r="K12" s="301"/>
      <c r="L12" s="208">
        <f>J12+K12</f>
        <v>56888.46</v>
      </c>
      <c r="M12" s="208"/>
      <c r="N12" s="208">
        <v>30590.7</v>
      </c>
      <c r="O12" s="307"/>
      <c r="P12" s="208">
        <f>N12+O12</f>
        <v>30590.7</v>
      </c>
      <c r="Q12" s="208">
        <v>7000</v>
      </c>
      <c r="R12" s="209"/>
      <c r="S12" s="209"/>
      <c r="T12" s="208">
        <f>Q12+R12+S12</f>
        <v>7000</v>
      </c>
      <c r="U12" s="208"/>
      <c r="V12" s="208"/>
      <c r="W12" s="208"/>
      <c r="X12" s="208"/>
      <c r="Y12" s="208"/>
      <c r="Z12" s="208"/>
      <c r="AA12" s="208"/>
      <c r="AB12" s="208"/>
      <c r="AC12" s="210"/>
      <c r="AD12" s="208"/>
      <c r="AE12" s="315"/>
      <c r="AF12" s="210"/>
      <c r="AG12" s="211"/>
      <c r="AH12" s="211"/>
      <c r="AI12" s="202"/>
      <c r="AJ12" s="183">
        <f t="shared" ref="AJ12:AJ34" si="5">J12-Q12-AD12</f>
        <v>49888.46</v>
      </c>
    </row>
    <row r="13" spans="1:37" ht="23.25" hidden="1">
      <c r="A13" s="203"/>
      <c r="B13" s="204"/>
      <c r="C13" s="204"/>
      <c r="D13" s="204"/>
      <c r="E13" s="205" t="s">
        <v>469</v>
      </c>
      <c r="F13" s="206"/>
      <c r="G13" s="206"/>
      <c r="H13" s="207"/>
      <c r="I13" s="207"/>
      <c r="J13" s="208">
        <v>59618.58</v>
      </c>
      <c r="K13" s="301"/>
      <c r="L13" s="208">
        <f t="shared" ref="L13:L14" si="6">J13+K13</f>
        <v>59618.58</v>
      </c>
      <c r="M13" s="208"/>
      <c r="N13" s="208"/>
      <c r="O13" s="307"/>
      <c r="P13" s="208">
        <f t="shared" ref="P13:P14" si="7">N13+O13</f>
        <v>0</v>
      </c>
      <c r="Q13" s="208"/>
      <c r="R13" s="209"/>
      <c r="S13" s="209"/>
      <c r="T13" s="208">
        <f t="shared" ref="T13:T14" si="8">Q13+R13+S13</f>
        <v>0</v>
      </c>
      <c r="U13" s="208"/>
      <c r="V13" s="208"/>
      <c r="W13" s="208"/>
      <c r="X13" s="208"/>
      <c r="Y13" s="208"/>
      <c r="Z13" s="208"/>
      <c r="AA13" s="208"/>
      <c r="AB13" s="208"/>
      <c r="AC13" s="210"/>
      <c r="AD13" s="208"/>
      <c r="AE13" s="315"/>
      <c r="AF13" s="210"/>
      <c r="AG13" s="211"/>
      <c r="AH13" s="211"/>
      <c r="AI13" s="202"/>
      <c r="AJ13" s="183">
        <f t="shared" si="5"/>
        <v>59618.58</v>
      </c>
    </row>
    <row r="14" spans="1:37" ht="23.25" hidden="1">
      <c r="A14" s="203"/>
      <c r="B14" s="204"/>
      <c r="C14" s="204"/>
      <c r="D14" s="204"/>
      <c r="E14" s="205" t="s">
        <v>470</v>
      </c>
      <c r="F14" s="206"/>
      <c r="G14" s="206"/>
      <c r="H14" s="207"/>
      <c r="I14" s="207"/>
      <c r="J14" s="208">
        <v>45264.47</v>
      </c>
      <c r="K14" s="301"/>
      <c r="L14" s="208">
        <f t="shared" si="6"/>
        <v>45264.47</v>
      </c>
      <c r="M14" s="208"/>
      <c r="N14" s="208"/>
      <c r="O14" s="307"/>
      <c r="P14" s="208">
        <f t="shared" si="7"/>
        <v>0</v>
      </c>
      <c r="Q14" s="208"/>
      <c r="R14" s="209"/>
      <c r="S14" s="209"/>
      <c r="T14" s="208">
        <f t="shared" si="8"/>
        <v>0</v>
      </c>
      <c r="U14" s="208"/>
      <c r="V14" s="208"/>
      <c r="W14" s="208"/>
      <c r="X14" s="208"/>
      <c r="Y14" s="208"/>
      <c r="Z14" s="208"/>
      <c r="AA14" s="208"/>
      <c r="AB14" s="208"/>
      <c r="AC14" s="210"/>
      <c r="AD14" s="208"/>
      <c r="AE14" s="315"/>
      <c r="AF14" s="210"/>
      <c r="AG14" s="211"/>
      <c r="AH14" s="211"/>
      <c r="AI14" s="202"/>
      <c r="AJ14" s="183">
        <f t="shared" si="5"/>
        <v>45264.47</v>
      </c>
    </row>
    <row r="15" spans="1:37" ht="23.25">
      <c r="A15" s="215">
        <v>1</v>
      </c>
      <c r="B15" s="196" t="s">
        <v>89</v>
      </c>
      <c r="C15" s="196" t="s">
        <v>90</v>
      </c>
      <c r="D15" s="196" t="s">
        <v>60</v>
      </c>
      <c r="E15" s="197" t="s">
        <v>91</v>
      </c>
      <c r="F15" s="216">
        <v>1</v>
      </c>
      <c r="G15" s="216"/>
      <c r="H15" s="212" t="s">
        <v>483</v>
      </c>
      <c r="I15" s="212" t="s">
        <v>471</v>
      </c>
      <c r="J15" s="217">
        <v>29200</v>
      </c>
      <c r="K15" s="217">
        <v>220000</v>
      </c>
      <c r="L15" s="200">
        <f>SUM(J15:K15)</f>
        <v>249200</v>
      </c>
      <c r="M15" s="200"/>
      <c r="N15" s="200">
        <f>500+350</f>
        <v>850</v>
      </c>
      <c r="O15" s="200">
        <v>9988.3700000000008</v>
      </c>
      <c r="P15" s="200">
        <f>SUM(N15:O15)</f>
        <v>10838.37</v>
      </c>
      <c r="Q15" s="200">
        <f>500+350</f>
        <v>850</v>
      </c>
      <c r="R15" s="200">
        <f>1988.37+3043</f>
        <v>5031.37</v>
      </c>
      <c r="S15" s="200"/>
      <c r="T15" s="200">
        <f>SUM(Q15:S15)</f>
        <v>5881.37</v>
      </c>
      <c r="U15" s="200">
        <f>J15-Q15-S15</f>
        <v>28350</v>
      </c>
      <c r="V15" s="200">
        <f>K15-R15</f>
        <v>214968.63</v>
      </c>
      <c r="W15" s="200">
        <f>SUM(U15:V15)</f>
        <v>243318.63</v>
      </c>
      <c r="X15" s="200">
        <f>N15-Q15-S15</f>
        <v>0</v>
      </c>
      <c r="Y15" s="200">
        <f>O15-R15</f>
        <v>4957.0000000000009</v>
      </c>
      <c r="Z15" s="200">
        <f>SUM(X15:Y15)</f>
        <v>4957.0000000000009</v>
      </c>
      <c r="AA15" s="200"/>
      <c r="AB15" s="200">
        <v>350</v>
      </c>
      <c r="AC15" s="200">
        <v>300</v>
      </c>
      <c r="AD15" s="214">
        <f t="shared" si="0"/>
        <v>650</v>
      </c>
      <c r="AE15" s="392">
        <v>17040</v>
      </c>
      <c r="AF15" s="214">
        <f t="shared" si="1"/>
        <v>17690</v>
      </c>
      <c r="AG15" s="214"/>
      <c r="AH15" s="218"/>
      <c r="AI15" s="219"/>
      <c r="AJ15" s="183"/>
    </row>
    <row r="16" spans="1:37" ht="23.25">
      <c r="A16" s="215">
        <v>2</v>
      </c>
      <c r="B16" s="196" t="s">
        <v>92</v>
      </c>
      <c r="C16" s="196" t="s">
        <v>93</v>
      </c>
      <c r="D16" s="196" t="s">
        <v>94</v>
      </c>
      <c r="E16" s="220" t="s">
        <v>95</v>
      </c>
      <c r="F16" s="216">
        <v>1</v>
      </c>
      <c r="G16" s="216"/>
      <c r="H16" s="212" t="s">
        <v>270</v>
      </c>
      <c r="I16" s="212" t="s">
        <v>270</v>
      </c>
      <c r="J16" s="217">
        <v>3124</v>
      </c>
      <c r="K16" s="217">
        <v>22698.28</v>
      </c>
      <c r="L16" s="200">
        <f>SUM(J16:K16)</f>
        <v>25822.28</v>
      </c>
      <c r="M16" s="200"/>
      <c r="N16" s="217">
        <v>3124</v>
      </c>
      <c r="O16" s="217">
        <v>22698.28</v>
      </c>
      <c r="P16" s="200">
        <f>SUM(N16:O16)</f>
        <v>25822.28</v>
      </c>
      <c r="Q16" s="200">
        <f>629+100</f>
        <v>729</v>
      </c>
      <c r="R16" s="217">
        <v>22698.28</v>
      </c>
      <c r="S16" s="200"/>
      <c r="T16" s="200">
        <f>SUM(Q16:S16)</f>
        <v>23427.279999999999</v>
      </c>
      <c r="U16" s="200">
        <f>J16-Q16-S16</f>
        <v>2395</v>
      </c>
      <c r="V16" s="200">
        <f>K16-R16</f>
        <v>0</v>
      </c>
      <c r="W16" s="200">
        <f>SUM(U16:V16)</f>
        <v>2395</v>
      </c>
      <c r="X16" s="200">
        <f>N16-Q16-S16</f>
        <v>2395</v>
      </c>
      <c r="Y16" s="200">
        <f>O16-R16</f>
        <v>0</v>
      </c>
      <c r="Z16" s="200">
        <f>SUM(X16:Y16)</f>
        <v>2395</v>
      </c>
      <c r="AA16" s="200"/>
      <c r="AB16" s="200">
        <v>100</v>
      </c>
      <c r="AC16" s="200">
        <v>200</v>
      </c>
      <c r="AD16" s="214">
        <f t="shared" si="0"/>
        <v>300</v>
      </c>
      <c r="AE16" s="392"/>
      <c r="AF16" s="214">
        <f t="shared" si="1"/>
        <v>300</v>
      </c>
      <c r="AG16" s="214"/>
      <c r="AH16" s="221"/>
      <c r="AI16" s="222"/>
      <c r="AJ16" s="183"/>
    </row>
    <row r="17" spans="1:36" ht="23.25">
      <c r="A17" s="215">
        <v>3</v>
      </c>
      <c r="B17" s="196" t="s">
        <v>92</v>
      </c>
      <c r="C17" s="196" t="s">
        <v>504</v>
      </c>
      <c r="D17" s="196" t="s">
        <v>489</v>
      </c>
      <c r="E17" s="220" t="s">
        <v>488</v>
      </c>
      <c r="F17" s="216">
        <v>1</v>
      </c>
      <c r="G17" s="216"/>
      <c r="H17" s="212" t="s">
        <v>494</v>
      </c>
      <c r="I17" s="212" t="s">
        <v>505</v>
      </c>
      <c r="J17" s="217">
        <v>10000</v>
      </c>
      <c r="K17" s="217">
        <v>424464</v>
      </c>
      <c r="L17" s="200">
        <f>J17+K17</f>
        <v>434464</v>
      </c>
      <c r="M17" s="200"/>
      <c r="N17" s="217"/>
      <c r="O17" s="217"/>
      <c r="P17" s="200"/>
      <c r="Q17" s="200"/>
      <c r="R17" s="217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>
        <v>200</v>
      </c>
      <c r="AD17" s="214">
        <f t="shared" si="0"/>
        <v>200</v>
      </c>
      <c r="AE17" s="392"/>
      <c r="AF17" s="214">
        <f t="shared" si="1"/>
        <v>200</v>
      </c>
      <c r="AG17" s="214"/>
      <c r="AH17" s="221"/>
      <c r="AI17" s="222"/>
      <c r="AJ17" s="183"/>
    </row>
    <row r="18" spans="1:36" ht="23.25" hidden="1">
      <c r="A18" s="223">
        <v>1</v>
      </c>
      <c r="B18" s="196" t="s">
        <v>92</v>
      </c>
      <c r="C18" s="196" t="s">
        <v>156</v>
      </c>
      <c r="D18" s="196" t="s">
        <v>94</v>
      </c>
      <c r="E18" s="197" t="s">
        <v>157</v>
      </c>
      <c r="F18" s="224">
        <v>1</v>
      </c>
      <c r="G18" s="224"/>
      <c r="H18" s="212" t="s">
        <v>491</v>
      </c>
      <c r="I18" s="212" t="s">
        <v>491</v>
      </c>
      <c r="J18" s="225">
        <v>25551</v>
      </c>
      <c r="K18" s="302"/>
      <c r="L18" s="200">
        <f t="shared" ref="L18:L21" si="9">SUM(J18:K18)</f>
        <v>25551</v>
      </c>
      <c r="M18" s="200"/>
      <c r="N18" s="225">
        <v>8004.98</v>
      </c>
      <c r="O18" s="308"/>
      <c r="P18" s="200">
        <f>N18+O18</f>
        <v>8004.98</v>
      </c>
      <c r="Q18" s="225">
        <v>150</v>
      </c>
      <c r="R18" s="217"/>
      <c r="S18" s="217"/>
      <c r="T18" s="200">
        <f>SUM(Q18:S18)</f>
        <v>150</v>
      </c>
      <c r="U18" s="200">
        <f t="shared" ref="U18:U21" si="10">J18-Q18-S18</f>
        <v>25401</v>
      </c>
      <c r="V18" s="200">
        <f t="shared" ref="V18:V21" si="11">K18-R18</f>
        <v>0</v>
      </c>
      <c r="W18" s="200">
        <f t="shared" ref="W18:W21" si="12">SUM(U18:V18)</f>
        <v>25401</v>
      </c>
      <c r="X18" s="200">
        <f t="shared" ref="X18:X21" si="13">N18-Q18-S18</f>
        <v>7854.98</v>
      </c>
      <c r="Y18" s="200">
        <f t="shared" ref="Y18:Y21" si="14">O18-R18</f>
        <v>0</v>
      </c>
      <c r="Z18" s="200">
        <f t="shared" ref="Z18:Z21" si="15">SUM(X18:Y18)</f>
        <v>7854.98</v>
      </c>
      <c r="AA18" s="200"/>
      <c r="AB18" s="200">
        <v>150</v>
      </c>
      <c r="AC18" s="200">
        <v>150</v>
      </c>
      <c r="AD18" s="214">
        <f>AB18+AC18</f>
        <v>300</v>
      </c>
      <c r="AE18" s="300"/>
      <c r="AF18" s="214">
        <f t="shared" ref="AF18:AF29" si="16">AD18+AE18</f>
        <v>300</v>
      </c>
      <c r="AG18" s="214"/>
      <c r="AH18" s="226" t="s">
        <v>37</v>
      </c>
      <c r="AI18" s="227"/>
      <c r="AJ18" s="183">
        <f t="shared" si="5"/>
        <v>25101</v>
      </c>
    </row>
    <row r="19" spans="1:36" s="228" customFormat="1" ht="23.25" hidden="1">
      <c r="A19" s="223">
        <v>2</v>
      </c>
      <c r="B19" s="196" t="s">
        <v>92</v>
      </c>
      <c r="C19" s="196" t="s">
        <v>158</v>
      </c>
      <c r="D19" s="196" t="s">
        <v>94</v>
      </c>
      <c r="E19" s="197" t="s">
        <v>159</v>
      </c>
      <c r="F19" s="216">
        <v>1</v>
      </c>
      <c r="G19" s="216"/>
      <c r="H19" s="212" t="s">
        <v>491</v>
      </c>
      <c r="I19" s="212" t="s">
        <v>492</v>
      </c>
      <c r="J19" s="217">
        <v>46046.2</v>
      </c>
      <c r="K19" s="302"/>
      <c r="L19" s="200">
        <f t="shared" si="9"/>
        <v>46046.2</v>
      </c>
      <c r="M19" s="200"/>
      <c r="N19" s="217">
        <v>7365.47</v>
      </c>
      <c r="O19" s="302"/>
      <c r="P19" s="200">
        <f>N19+O19</f>
        <v>7365.47</v>
      </c>
      <c r="Q19" s="217">
        <v>500</v>
      </c>
      <c r="R19" s="217"/>
      <c r="S19" s="217"/>
      <c r="T19" s="200">
        <f>SUM(Q19:S19)</f>
        <v>500</v>
      </c>
      <c r="U19" s="200">
        <f t="shared" si="10"/>
        <v>45546.2</v>
      </c>
      <c r="V19" s="200">
        <f t="shared" si="11"/>
        <v>0</v>
      </c>
      <c r="W19" s="200">
        <f t="shared" si="12"/>
        <v>45546.2</v>
      </c>
      <c r="X19" s="200">
        <f t="shared" si="13"/>
        <v>6865.47</v>
      </c>
      <c r="Y19" s="200">
        <f t="shared" si="14"/>
        <v>0</v>
      </c>
      <c r="Z19" s="200">
        <f t="shared" si="15"/>
        <v>6865.47</v>
      </c>
      <c r="AA19" s="200"/>
      <c r="AB19" s="200"/>
      <c r="AC19" s="200">
        <v>450</v>
      </c>
      <c r="AD19" s="214">
        <f t="shared" ref="AD19:AD29" si="17">AB19+AC19</f>
        <v>450</v>
      </c>
      <c r="AE19" s="300"/>
      <c r="AF19" s="214">
        <f t="shared" si="16"/>
        <v>450</v>
      </c>
      <c r="AG19" s="214"/>
      <c r="AH19" s="226" t="s">
        <v>37</v>
      </c>
      <c r="AI19" s="227"/>
      <c r="AJ19" s="183">
        <f t="shared" si="5"/>
        <v>45096.2</v>
      </c>
    </row>
    <row r="20" spans="1:36" ht="46.5" hidden="1">
      <c r="A20" s="223">
        <v>3</v>
      </c>
      <c r="B20" s="196" t="s">
        <v>92</v>
      </c>
      <c r="C20" s="196" t="s">
        <v>160</v>
      </c>
      <c r="D20" s="196" t="s">
        <v>94</v>
      </c>
      <c r="E20" s="197" t="s">
        <v>161</v>
      </c>
      <c r="F20" s="224">
        <v>1</v>
      </c>
      <c r="G20" s="224"/>
      <c r="H20" s="212" t="s">
        <v>491</v>
      </c>
      <c r="I20" s="212" t="s">
        <v>492</v>
      </c>
      <c r="J20" s="217">
        <v>49794.54</v>
      </c>
      <c r="K20" s="302"/>
      <c r="L20" s="200">
        <f t="shared" si="9"/>
        <v>49794.54</v>
      </c>
      <c r="M20" s="200"/>
      <c r="N20" s="217">
        <v>20985.49</v>
      </c>
      <c r="O20" s="302"/>
      <c r="P20" s="200">
        <f>N20+O20</f>
        <v>20985.49</v>
      </c>
      <c r="Q20" s="217">
        <v>500</v>
      </c>
      <c r="R20" s="217"/>
      <c r="S20" s="217"/>
      <c r="T20" s="200">
        <f>SUM(Q20:S20)</f>
        <v>500</v>
      </c>
      <c r="U20" s="200">
        <f t="shared" si="10"/>
        <v>49294.54</v>
      </c>
      <c r="V20" s="200">
        <f t="shared" si="11"/>
        <v>0</v>
      </c>
      <c r="W20" s="200">
        <f t="shared" si="12"/>
        <v>49294.54</v>
      </c>
      <c r="X20" s="200">
        <f t="shared" si="13"/>
        <v>20485.490000000002</v>
      </c>
      <c r="Y20" s="200">
        <f t="shared" si="14"/>
        <v>0</v>
      </c>
      <c r="Z20" s="200">
        <f t="shared" si="15"/>
        <v>20485.490000000002</v>
      </c>
      <c r="AA20" s="200"/>
      <c r="AB20" s="200"/>
      <c r="AC20" s="200">
        <v>450</v>
      </c>
      <c r="AD20" s="214">
        <f t="shared" si="17"/>
        <v>450</v>
      </c>
      <c r="AE20" s="300"/>
      <c r="AF20" s="214">
        <f t="shared" si="16"/>
        <v>450</v>
      </c>
      <c r="AG20" s="214"/>
      <c r="AH20" s="226" t="s">
        <v>37</v>
      </c>
      <c r="AI20" s="227"/>
      <c r="AJ20" s="183">
        <f t="shared" si="5"/>
        <v>48844.54</v>
      </c>
    </row>
    <row r="21" spans="1:36" ht="46.5" hidden="1">
      <c r="A21" s="229">
        <v>4</v>
      </c>
      <c r="B21" s="186" t="s">
        <v>92</v>
      </c>
      <c r="C21" s="186" t="s">
        <v>162</v>
      </c>
      <c r="D21" s="186" t="s">
        <v>94</v>
      </c>
      <c r="E21" s="187" t="s">
        <v>163</v>
      </c>
      <c r="F21" s="224">
        <v>1</v>
      </c>
      <c r="G21" s="188"/>
      <c r="H21" s="189" t="s">
        <v>491</v>
      </c>
      <c r="I21" s="189" t="s">
        <v>492</v>
      </c>
      <c r="J21" s="190">
        <v>49485.99</v>
      </c>
      <c r="K21" s="299"/>
      <c r="L21" s="191">
        <f t="shared" si="9"/>
        <v>49485.99</v>
      </c>
      <c r="M21" s="191"/>
      <c r="N21" s="190">
        <v>19389.72</v>
      </c>
      <c r="O21" s="299"/>
      <c r="P21" s="191">
        <f>N21+O21</f>
        <v>19389.72</v>
      </c>
      <c r="Q21" s="190">
        <v>500</v>
      </c>
      <c r="R21" s="190"/>
      <c r="S21" s="190"/>
      <c r="T21" s="191">
        <f>SUM(Q21:S21)</f>
        <v>500</v>
      </c>
      <c r="U21" s="191">
        <f t="shared" si="10"/>
        <v>48985.99</v>
      </c>
      <c r="V21" s="191">
        <f t="shared" si="11"/>
        <v>0</v>
      </c>
      <c r="W21" s="191">
        <f t="shared" si="12"/>
        <v>48985.99</v>
      </c>
      <c r="X21" s="191">
        <f t="shared" si="13"/>
        <v>18889.72</v>
      </c>
      <c r="Y21" s="191">
        <f t="shared" si="14"/>
        <v>0</v>
      </c>
      <c r="Z21" s="191">
        <f t="shared" si="15"/>
        <v>18889.72</v>
      </c>
      <c r="AA21" s="191"/>
      <c r="AB21" s="191"/>
      <c r="AC21" s="191">
        <v>450</v>
      </c>
      <c r="AD21" s="214">
        <f t="shared" si="17"/>
        <v>450</v>
      </c>
      <c r="AE21" s="314"/>
      <c r="AF21" s="214">
        <f t="shared" si="16"/>
        <v>450</v>
      </c>
      <c r="AG21" s="192"/>
      <c r="AH21" s="230" t="s">
        <v>37</v>
      </c>
      <c r="AI21" s="231"/>
      <c r="AJ21" s="183">
        <f t="shared" si="5"/>
        <v>48535.99</v>
      </c>
    </row>
    <row r="22" spans="1:36" ht="23.25" hidden="1">
      <c r="A22" s="223">
        <v>5</v>
      </c>
      <c r="B22" s="196" t="s">
        <v>92</v>
      </c>
      <c r="C22" s="196" t="s">
        <v>472</v>
      </c>
      <c r="D22" s="196" t="s">
        <v>94</v>
      </c>
      <c r="E22" s="197" t="s">
        <v>473</v>
      </c>
      <c r="F22" s="216">
        <v>1</v>
      </c>
      <c r="G22" s="216"/>
      <c r="H22" s="199" t="s">
        <v>471</v>
      </c>
      <c r="I22" s="199" t="s">
        <v>471</v>
      </c>
      <c r="J22" s="225">
        <v>269339</v>
      </c>
      <c r="K22" s="302"/>
      <c r="L22" s="200">
        <f>J22+K22</f>
        <v>269339</v>
      </c>
      <c r="M22" s="200"/>
      <c r="N22" s="217">
        <v>116448.05</v>
      </c>
      <c r="O22" s="309"/>
      <c r="P22" s="200">
        <f>N22+O22</f>
        <v>116448.05</v>
      </c>
      <c r="Q22" s="200">
        <v>35000</v>
      </c>
      <c r="R22" s="232"/>
      <c r="S22" s="200">
        <v>47813</v>
      </c>
      <c r="T22" s="200">
        <f>Q22+S22</f>
        <v>82813</v>
      </c>
      <c r="U22" s="200"/>
      <c r="V22" s="200"/>
      <c r="W22" s="200"/>
      <c r="X22" s="200"/>
      <c r="Y22" s="200"/>
      <c r="Z22" s="200"/>
      <c r="AA22" s="200"/>
      <c r="AB22" s="200"/>
      <c r="AC22" s="200">
        <v>8000</v>
      </c>
      <c r="AD22" s="192">
        <f t="shared" si="17"/>
        <v>8000</v>
      </c>
      <c r="AE22" s="314"/>
      <c r="AF22" s="192">
        <f t="shared" si="16"/>
        <v>8000</v>
      </c>
      <c r="AG22" s="226"/>
      <c r="AH22" s="233"/>
      <c r="AI22" s="227"/>
      <c r="AJ22" s="183">
        <f t="shared" si="5"/>
        <v>226339</v>
      </c>
    </row>
    <row r="23" spans="1:36" ht="23.25" hidden="1">
      <c r="A23" s="229">
        <v>6</v>
      </c>
      <c r="B23" s="196" t="s">
        <v>92</v>
      </c>
      <c r="C23" s="196" t="s">
        <v>474</v>
      </c>
      <c r="D23" s="196" t="s">
        <v>94</v>
      </c>
      <c r="E23" s="197" t="s">
        <v>475</v>
      </c>
      <c r="F23" s="224">
        <v>1</v>
      </c>
      <c r="G23" s="216"/>
      <c r="H23" s="199" t="s">
        <v>471</v>
      </c>
      <c r="I23" s="199" t="s">
        <v>471</v>
      </c>
      <c r="J23" s="225">
        <v>152900</v>
      </c>
      <c r="K23" s="302"/>
      <c r="L23" s="200">
        <f t="shared" ref="L23:L29" si="18">J23+K23</f>
        <v>152900</v>
      </c>
      <c r="M23" s="200"/>
      <c r="N23" s="217">
        <v>148141.03</v>
      </c>
      <c r="O23" s="309"/>
      <c r="P23" s="200">
        <f t="shared" ref="P23:P29" si="19">N23+O23</f>
        <v>148141.03</v>
      </c>
      <c r="Q23" s="200">
        <v>26000</v>
      </c>
      <c r="R23" s="232"/>
      <c r="S23" s="200">
        <v>52685.84</v>
      </c>
      <c r="T23" s="200">
        <f t="shared" ref="T23:T29" si="20">Q23+S23</f>
        <v>78685.84</v>
      </c>
      <c r="U23" s="200"/>
      <c r="V23" s="200"/>
      <c r="W23" s="200"/>
      <c r="X23" s="200"/>
      <c r="Y23" s="200"/>
      <c r="Z23" s="200"/>
      <c r="AA23" s="200"/>
      <c r="AB23" s="200"/>
      <c r="AC23" s="200">
        <v>5000</v>
      </c>
      <c r="AD23" s="192">
        <f t="shared" si="17"/>
        <v>5000</v>
      </c>
      <c r="AE23" s="314"/>
      <c r="AF23" s="192">
        <f t="shared" si="16"/>
        <v>5000</v>
      </c>
      <c r="AG23" s="226"/>
      <c r="AH23" s="233"/>
      <c r="AI23" s="227"/>
      <c r="AJ23" s="183">
        <f t="shared" si="5"/>
        <v>121900</v>
      </c>
    </row>
    <row r="24" spans="1:36" ht="23.25" hidden="1">
      <c r="A24" s="223">
        <v>7</v>
      </c>
      <c r="B24" s="196" t="s">
        <v>92</v>
      </c>
      <c r="C24" s="196" t="s">
        <v>476</v>
      </c>
      <c r="D24" s="196" t="s">
        <v>94</v>
      </c>
      <c r="E24" s="197" t="s">
        <v>477</v>
      </c>
      <c r="F24" s="224">
        <v>1</v>
      </c>
      <c r="G24" s="216"/>
      <c r="H24" s="199" t="s">
        <v>471</v>
      </c>
      <c r="I24" s="199" t="s">
        <v>471</v>
      </c>
      <c r="J24" s="217">
        <v>297390</v>
      </c>
      <c r="K24" s="302"/>
      <c r="L24" s="200">
        <f t="shared" si="18"/>
        <v>297390</v>
      </c>
      <c r="M24" s="200"/>
      <c r="N24" s="217">
        <v>211358.58</v>
      </c>
      <c r="O24" s="309"/>
      <c r="P24" s="200">
        <f t="shared" si="19"/>
        <v>211358.58</v>
      </c>
      <c r="Q24" s="200">
        <v>15000</v>
      </c>
      <c r="R24" s="232"/>
      <c r="S24" s="200">
        <f>34200-15000</f>
        <v>19200</v>
      </c>
      <c r="T24" s="200">
        <f t="shared" si="20"/>
        <v>34200</v>
      </c>
      <c r="U24" s="200"/>
      <c r="V24" s="200"/>
      <c r="W24" s="200"/>
      <c r="X24" s="200"/>
      <c r="Y24" s="200"/>
      <c r="Z24" s="200"/>
      <c r="AA24" s="200"/>
      <c r="AB24" s="200"/>
      <c r="AC24" s="200">
        <f>7800-300</f>
        <v>7500</v>
      </c>
      <c r="AD24" s="192">
        <f t="shared" si="17"/>
        <v>7500</v>
      </c>
      <c r="AE24" s="314"/>
      <c r="AF24" s="192">
        <f t="shared" si="16"/>
        <v>7500</v>
      </c>
      <c r="AG24" s="226"/>
      <c r="AH24" s="233"/>
      <c r="AI24" s="227"/>
      <c r="AJ24" s="183">
        <f t="shared" si="5"/>
        <v>274890</v>
      </c>
    </row>
    <row r="25" spans="1:36" ht="23.25" hidden="1">
      <c r="A25" s="229">
        <v>8</v>
      </c>
      <c r="B25" s="196" t="s">
        <v>92</v>
      </c>
      <c r="C25" s="196" t="s">
        <v>478</v>
      </c>
      <c r="D25" s="196" t="s">
        <v>94</v>
      </c>
      <c r="E25" s="197" t="s">
        <v>479</v>
      </c>
      <c r="F25" s="216">
        <v>1</v>
      </c>
      <c r="G25" s="216"/>
      <c r="H25" s="199" t="s">
        <v>483</v>
      </c>
      <c r="I25" s="199" t="s">
        <v>483</v>
      </c>
      <c r="J25" s="217">
        <v>46372</v>
      </c>
      <c r="K25" s="302"/>
      <c r="L25" s="200">
        <f t="shared" si="18"/>
        <v>46372</v>
      </c>
      <c r="M25" s="200"/>
      <c r="N25" s="217">
        <v>19400.16</v>
      </c>
      <c r="O25" s="309"/>
      <c r="P25" s="200">
        <f t="shared" si="19"/>
        <v>19400.16</v>
      </c>
      <c r="Q25" s="200">
        <v>8000</v>
      </c>
      <c r="R25" s="232"/>
      <c r="S25" s="200">
        <f>13300-8000</f>
        <v>5300</v>
      </c>
      <c r="T25" s="200">
        <f t="shared" si="20"/>
        <v>13300</v>
      </c>
      <c r="U25" s="200"/>
      <c r="V25" s="200"/>
      <c r="W25" s="200"/>
      <c r="X25" s="200"/>
      <c r="Y25" s="200"/>
      <c r="Z25" s="200"/>
      <c r="AA25" s="200"/>
      <c r="AB25" s="200"/>
      <c r="AC25" s="200">
        <v>3000</v>
      </c>
      <c r="AD25" s="192">
        <f t="shared" si="17"/>
        <v>3000</v>
      </c>
      <c r="AE25" s="314"/>
      <c r="AF25" s="192">
        <f t="shared" si="16"/>
        <v>3000</v>
      </c>
      <c r="AG25" s="226"/>
      <c r="AH25" s="233"/>
      <c r="AI25" s="227"/>
      <c r="AJ25" s="183">
        <f t="shared" si="5"/>
        <v>35372</v>
      </c>
    </row>
    <row r="26" spans="1:36" ht="69.75" hidden="1">
      <c r="A26" s="223">
        <v>9</v>
      </c>
      <c r="B26" s="196" t="s">
        <v>92</v>
      </c>
      <c r="C26" s="196" t="s">
        <v>480</v>
      </c>
      <c r="D26" s="196" t="s">
        <v>94</v>
      </c>
      <c r="E26" s="197" t="s">
        <v>481</v>
      </c>
      <c r="F26" s="224">
        <v>1</v>
      </c>
      <c r="G26" s="216"/>
      <c r="H26" s="199" t="s">
        <v>471</v>
      </c>
      <c r="I26" s="199" t="s">
        <v>471</v>
      </c>
      <c r="J26" s="217">
        <v>879000</v>
      </c>
      <c r="K26" s="302"/>
      <c r="L26" s="200">
        <f t="shared" si="18"/>
        <v>879000</v>
      </c>
      <c r="M26" s="200"/>
      <c r="N26" s="217">
        <v>256301.23</v>
      </c>
      <c r="O26" s="309"/>
      <c r="P26" s="200">
        <f t="shared" si="19"/>
        <v>256301.23</v>
      </c>
      <c r="Q26" s="200">
        <v>31000</v>
      </c>
      <c r="R26" s="232"/>
      <c r="S26" s="200">
        <v>0</v>
      </c>
      <c r="T26" s="200">
        <f t="shared" si="20"/>
        <v>31000</v>
      </c>
      <c r="U26" s="200"/>
      <c r="V26" s="200"/>
      <c r="W26" s="200"/>
      <c r="X26" s="200"/>
      <c r="Y26" s="200"/>
      <c r="Z26" s="200"/>
      <c r="AA26" s="200"/>
      <c r="AB26" s="200"/>
      <c r="AC26" s="200">
        <f>12500-500</f>
        <v>12000</v>
      </c>
      <c r="AD26" s="192">
        <f t="shared" si="17"/>
        <v>12000</v>
      </c>
      <c r="AE26" s="314"/>
      <c r="AF26" s="192">
        <f t="shared" si="16"/>
        <v>12000</v>
      </c>
      <c r="AG26" s="226"/>
      <c r="AH26" s="233"/>
      <c r="AI26" s="227"/>
      <c r="AJ26" s="183">
        <f t="shared" si="5"/>
        <v>836000</v>
      </c>
    </row>
    <row r="27" spans="1:36" ht="52.5" hidden="1">
      <c r="A27" s="229">
        <v>10</v>
      </c>
      <c r="B27" s="196" t="s">
        <v>92</v>
      </c>
      <c r="C27" s="196" t="s">
        <v>482</v>
      </c>
      <c r="D27" s="196" t="s">
        <v>94</v>
      </c>
      <c r="E27" s="234" t="s">
        <v>507</v>
      </c>
      <c r="F27" s="224">
        <v>1</v>
      </c>
      <c r="G27" s="216"/>
      <c r="H27" s="212" t="s">
        <v>484</v>
      </c>
      <c r="I27" s="212" t="s">
        <v>484</v>
      </c>
      <c r="J27" s="217">
        <v>326162.73</v>
      </c>
      <c r="K27" s="302"/>
      <c r="L27" s="200">
        <f t="shared" si="18"/>
        <v>326162.73</v>
      </c>
      <c r="M27" s="200"/>
      <c r="N27" s="217">
        <v>326065</v>
      </c>
      <c r="O27" s="309"/>
      <c r="P27" s="200">
        <f t="shared" si="19"/>
        <v>326065</v>
      </c>
      <c r="Q27" s="200">
        <v>0</v>
      </c>
      <c r="R27" s="232"/>
      <c r="S27" s="232"/>
      <c r="T27" s="200">
        <f t="shared" si="20"/>
        <v>0</v>
      </c>
      <c r="U27" s="200"/>
      <c r="V27" s="200"/>
      <c r="W27" s="200"/>
      <c r="X27" s="200"/>
      <c r="Y27" s="200"/>
      <c r="Z27" s="200"/>
      <c r="AA27" s="200"/>
      <c r="AB27" s="200">
        <v>5000</v>
      </c>
      <c r="AC27" s="200">
        <f>7800-300</f>
        <v>7500</v>
      </c>
      <c r="AD27" s="192">
        <f t="shared" si="17"/>
        <v>12500</v>
      </c>
      <c r="AE27" s="314"/>
      <c r="AF27" s="192">
        <f t="shared" si="16"/>
        <v>12500</v>
      </c>
      <c r="AG27" s="226"/>
      <c r="AH27" s="233"/>
      <c r="AI27" s="227"/>
      <c r="AJ27" s="183">
        <f t="shared" si="5"/>
        <v>313662.73</v>
      </c>
    </row>
    <row r="28" spans="1:36" ht="46.5" hidden="1">
      <c r="A28" s="229">
        <v>11</v>
      </c>
      <c r="B28" s="186" t="s">
        <v>92</v>
      </c>
      <c r="C28" s="186" t="s">
        <v>487</v>
      </c>
      <c r="D28" s="186" t="s">
        <v>94</v>
      </c>
      <c r="E28" s="235" t="s">
        <v>508</v>
      </c>
      <c r="F28" s="216">
        <v>1</v>
      </c>
      <c r="G28" s="188"/>
      <c r="H28" s="189" t="s">
        <v>484</v>
      </c>
      <c r="I28" s="189" t="s">
        <v>484</v>
      </c>
      <c r="J28" s="190">
        <v>360565.14</v>
      </c>
      <c r="K28" s="299"/>
      <c r="L28" s="191">
        <f t="shared" si="18"/>
        <v>360565.14</v>
      </c>
      <c r="M28" s="191"/>
      <c r="N28" s="190">
        <v>360392</v>
      </c>
      <c r="O28" s="310"/>
      <c r="P28" s="191">
        <f t="shared" si="19"/>
        <v>360392</v>
      </c>
      <c r="Q28" s="191">
        <v>5000</v>
      </c>
      <c r="R28" s="236"/>
      <c r="S28" s="236"/>
      <c r="T28" s="191">
        <f t="shared" si="20"/>
        <v>5000</v>
      </c>
      <c r="U28" s="191"/>
      <c r="V28" s="191"/>
      <c r="W28" s="191"/>
      <c r="X28" s="191"/>
      <c r="Y28" s="191"/>
      <c r="Z28" s="191"/>
      <c r="AA28" s="191"/>
      <c r="AB28" s="191"/>
      <c r="AC28" s="191">
        <f>7800-300</f>
        <v>7500</v>
      </c>
      <c r="AD28" s="192">
        <f t="shared" si="17"/>
        <v>7500</v>
      </c>
      <c r="AE28" s="314"/>
      <c r="AF28" s="192">
        <f t="shared" si="16"/>
        <v>7500</v>
      </c>
      <c r="AG28" s="230"/>
      <c r="AH28" s="237"/>
      <c r="AI28" s="231"/>
      <c r="AJ28" s="183">
        <f t="shared" si="5"/>
        <v>348065.14</v>
      </c>
    </row>
    <row r="29" spans="1:36" ht="23.25" hidden="1">
      <c r="A29" s="229">
        <v>12</v>
      </c>
      <c r="B29" s="186" t="s">
        <v>92</v>
      </c>
      <c r="C29" s="186" t="s">
        <v>499</v>
      </c>
      <c r="D29" s="186" t="s">
        <v>94</v>
      </c>
      <c r="E29" s="235" t="s">
        <v>500</v>
      </c>
      <c r="F29" s="216">
        <v>1</v>
      </c>
      <c r="G29" s="188"/>
      <c r="H29" s="189" t="s">
        <v>501</v>
      </c>
      <c r="I29" s="189" t="s">
        <v>501</v>
      </c>
      <c r="J29" s="190">
        <v>112656</v>
      </c>
      <c r="K29" s="299"/>
      <c r="L29" s="191">
        <f t="shared" si="18"/>
        <v>112656</v>
      </c>
      <c r="M29" s="191"/>
      <c r="N29" s="190">
        <v>112656</v>
      </c>
      <c r="O29" s="310"/>
      <c r="P29" s="191">
        <f t="shared" si="19"/>
        <v>112656</v>
      </c>
      <c r="Q29" s="191">
        <v>150</v>
      </c>
      <c r="R29" s="236"/>
      <c r="S29" s="236"/>
      <c r="T29" s="191">
        <f t="shared" si="20"/>
        <v>150</v>
      </c>
      <c r="U29" s="191"/>
      <c r="V29" s="191"/>
      <c r="W29" s="191"/>
      <c r="X29" s="191"/>
      <c r="Y29" s="191"/>
      <c r="Z29" s="191"/>
      <c r="AA29" s="191"/>
      <c r="AB29" s="191">
        <v>150</v>
      </c>
      <c r="AC29" s="191">
        <f>4500-500</f>
        <v>4000</v>
      </c>
      <c r="AD29" s="192">
        <f t="shared" si="17"/>
        <v>4150</v>
      </c>
      <c r="AE29" s="314"/>
      <c r="AF29" s="192">
        <f t="shared" si="16"/>
        <v>4150</v>
      </c>
      <c r="AG29" s="230"/>
      <c r="AH29" s="237"/>
      <c r="AI29" s="231"/>
      <c r="AJ29" s="183">
        <f t="shared" si="5"/>
        <v>108356</v>
      </c>
    </row>
    <row r="30" spans="1:36" ht="46.5" hidden="1">
      <c r="A30" s="276">
        <v>1</v>
      </c>
      <c r="B30" s="196" t="s">
        <v>92</v>
      </c>
      <c r="C30" s="196" t="s">
        <v>502</v>
      </c>
      <c r="D30" s="196" t="s">
        <v>94</v>
      </c>
      <c r="E30" s="277" t="s">
        <v>174</v>
      </c>
      <c r="F30" s="278">
        <v>1</v>
      </c>
      <c r="G30" s="278"/>
      <c r="H30" s="279" t="s">
        <v>493</v>
      </c>
      <c r="I30" s="279" t="s">
        <v>494</v>
      </c>
      <c r="J30" s="214">
        <v>34395</v>
      </c>
      <c r="K30" s="304"/>
      <c r="L30" s="246">
        <f>SUM(J30:K30)</f>
        <v>34395</v>
      </c>
      <c r="M30" s="246"/>
      <c r="N30" s="184"/>
      <c r="O30" s="311"/>
      <c r="P30" s="200">
        <f>SUM(N30:O30)</f>
        <v>0</v>
      </c>
      <c r="Q30" s="184"/>
      <c r="R30" s="184"/>
      <c r="S30" s="184"/>
      <c r="T30" s="200">
        <f>SUM(Q30:S30)</f>
        <v>0</v>
      </c>
      <c r="U30" s="184"/>
      <c r="V30" s="184"/>
      <c r="W30" s="200">
        <f>SUM(U30:V30)</f>
        <v>0</v>
      </c>
      <c r="X30" s="184"/>
      <c r="Y30" s="184"/>
      <c r="Z30" s="200">
        <f>SUM(X30:Y30)</f>
        <v>0</v>
      </c>
      <c r="AA30" s="200"/>
      <c r="AB30" s="200"/>
      <c r="AC30" s="246">
        <v>2739</v>
      </c>
      <c r="AD30" s="214">
        <f>AB30+AC30</f>
        <v>2739</v>
      </c>
      <c r="AE30" s="304"/>
      <c r="AF30" s="214">
        <f>AD30+AE30</f>
        <v>2739</v>
      </c>
      <c r="AG30" s="214"/>
      <c r="AH30" s="247" t="s">
        <v>37</v>
      </c>
      <c r="AI30" s="182"/>
      <c r="AJ30" s="183">
        <f t="shared" si="5"/>
        <v>31656</v>
      </c>
    </row>
    <row r="31" spans="1:36" ht="69.75" hidden="1">
      <c r="A31" s="280">
        <v>2</v>
      </c>
      <c r="B31" s="196" t="s">
        <v>92</v>
      </c>
      <c r="C31" s="196" t="s">
        <v>503</v>
      </c>
      <c r="D31" s="196" t="s">
        <v>94</v>
      </c>
      <c r="E31" s="277" t="s">
        <v>511</v>
      </c>
      <c r="F31" s="281">
        <v>1</v>
      </c>
      <c r="G31" s="281"/>
      <c r="H31" s="279" t="s">
        <v>493</v>
      </c>
      <c r="I31" s="279" t="s">
        <v>494</v>
      </c>
      <c r="J31" s="192">
        <v>25500</v>
      </c>
      <c r="K31" s="305"/>
      <c r="L31" s="246">
        <f>SUM(J31:K31)</f>
        <v>25500</v>
      </c>
      <c r="M31" s="282"/>
      <c r="N31" s="283"/>
      <c r="O31" s="312"/>
      <c r="P31" s="191"/>
      <c r="Q31" s="283"/>
      <c r="R31" s="283"/>
      <c r="S31" s="283"/>
      <c r="T31" s="191"/>
      <c r="U31" s="283"/>
      <c r="V31" s="283"/>
      <c r="W31" s="191"/>
      <c r="X31" s="283"/>
      <c r="Y31" s="283"/>
      <c r="Z31" s="191"/>
      <c r="AA31" s="191"/>
      <c r="AB31" s="191"/>
      <c r="AC31" s="282">
        <v>200</v>
      </c>
      <c r="AD31" s="214">
        <f>AB31+AC31</f>
        <v>200</v>
      </c>
      <c r="AE31" s="305"/>
      <c r="AF31" s="214">
        <f>AD31+AE31</f>
        <v>200</v>
      </c>
      <c r="AG31" s="192"/>
      <c r="AH31" s="247" t="s">
        <v>37</v>
      </c>
      <c r="AI31" s="284"/>
      <c r="AJ31" s="183"/>
    </row>
    <row r="32" spans="1:36" ht="46.5" hidden="1">
      <c r="A32" s="280">
        <v>3</v>
      </c>
      <c r="B32" s="196" t="s">
        <v>92</v>
      </c>
      <c r="C32" s="196" t="s">
        <v>506</v>
      </c>
      <c r="D32" s="196" t="s">
        <v>94</v>
      </c>
      <c r="E32" s="197" t="s">
        <v>498</v>
      </c>
      <c r="F32" s="281">
        <v>1</v>
      </c>
      <c r="G32" s="281"/>
      <c r="H32" s="279" t="s">
        <v>493</v>
      </c>
      <c r="I32" s="279" t="s">
        <v>494</v>
      </c>
      <c r="J32" s="192">
        <v>73754</v>
      </c>
      <c r="K32" s="305"/>
      <c r="L32" s="246">
        <f t="shared" ref="L32" si="21">SUM(J32:K32)</f>
        <v>73754</v>
      </c>
      <c r="M32" s="282"/>
      <c r="N32" s="283"/>
      <c r="O32" s="312"/>
      <c r="P32" s="191"/>
      <c r="Q32" s="283"/>
      <c r="R32" s="283"/>
      <c r="S32" s="283"/>
      <c r="T32" s="191"/>
      <c r="U32" s="283"/>
      <c r="V32" s="283"/>
      <c r="W32" s="191"/>
      <c r="X32" s="283"/>
      <c r="Y32" s="283"/>
      <c r="Z32" s="191"/>
      <c r="AA32" s="191"/>
      <c r="AB32" s="191"/>
      <c r="AC32" s="282">
        <v>1000</v>
      </c>
      <c r="AD32" s="192">
        <f t="shared" ref="AD32" si="22">AB32+AC32</f>
        <v>1000</v>
      </c>
      <c r="AE32" s="314"/>
      <c r="AF32" s="192">
        <f t="shared" ref="AF32" si="23">AD32+AE32</f>
        <v>1000</v>
      </c>
      <c r="AG32" s="192"/>
      <c r="AH32" s="247" t="s">
        <v>37</v>
      </c>
      <c r="AI32" s="284"/>
      <c r="AJ32" s="183"/>
    </row>
    <row r="33" spans="1:36" ht="23.25">
      <c r="A33" s="285">
        <v>1</v>
      </c>
      <c r="B33" s="286" t="s">
        <v>274</v>
      </c>
      <c r="C33" s="286" t="s">
        <v>510</v>
      </c>
      <c r="D33" s="286" t="s">
        <v>490</v>
      </c>
      <c r="E33" s="287" t="s">
        <v>273</v>
      </c>
      <c r="F33" s="288">
        <v>1</v>
      </c>
      <c r="G33" s="288"/>
      <c r="H33" s="288" t="s">
        <v>495</v>
      </c>
      <c r="I33" s="288" t="s">
        <v>496</v>
      </c>
      <c r="J33" s="289">
        <v>3200</v>
      </c>
      <c r="K33" s="289">
        <v>24713</v>
      </c>
      <c r="L33" s="289">
        <f>SUM(J33:K33)</f>
        <v>27913</v>
      </c>
      <c r="M33" s="289"/>
      <c r="N33" s="290"/>
      <c r="O33" s="290"/>
      <c r="P33" s="291">
        <f>SUM(N33:O33)</f>
        <v>0</v>
      </c>
      <c r="Q33" s="290"/>
      <c r="R33" s="290"/>
      <c r="S33" s="290"/>
      <c r="T33" s="291">
        <f t="shared" ref="T33" si="24">SUM(Q33:S33)</f>
        <v>0</v>
      </c>
      <c r="U33" s="290"/>
      <c r="V33" s="290"/>
      <c r="W33" s="291">
        <f>SUM(U33:V33)</f>
        <v>0</v>
      </c>
      <c r="X33" s="290"/>
      <c r="Y33" s="290"/>
      <c r="Z33" s="291">
        <f>SUM(X33:Y33)</f>
        <v>0</v>
      </c>
      <c r="AA33" s="291"/>
      <c r="AB33" s="291"/>
      <c r="AC33" s="289">
        <v>400</v>
      </c>
      <c r="AD33" s="292">
        <f t="shared" ref="AD33" si="25">AB33+AC33</f>
        <v>400</v>
      </c>
      <c r="AE33" s="393">
        <v>13570</v>
      </c>
      <c r="AF33" s="292">
        <f t="shared" ref="AF33" si="26">AD33+AE33</f>
        <v>13970</v>
      </c>
      <c r="AG33" s="292"/>
      <c r="AH33" s="293" t="s">
        <v>37</v>
      </c>
      <c r="AI33" s="294"/>
      <c r="AJ33" s="183"/>
    </row>
    <row r="34" spans="1:36" ht="47.25" hidden="1" thickBot="1">
      <c r="A34" s="248">
        <v>1</v>
      </c>
      <c r="B34" s="186" t="s">
        <v>299</v>
      </c>
      <c r="C34" s="186" t="s">
        <v>485</v>
      </c>
      <c r="D34" s="186" t="s">
        <v>94</v>
      </c>
      <c r="E34" s="187" t="s">
        <v>486</v>
      </c>
      <c r="F34" s="249">
        <v>1</v>
      </c>
      <c r="G34" s="250"/>
      <c r="H34" s="249" t="s">
        <v>483</v>
      </c>
      <c r="I34" s="249" t="s">
        <v>483</v>
      </c>
      <c r="J34" s="190">
        <v>71577.05</v>
      </c>
      <c r="K34" s="306"/>
      <c r="L34" s="252">
        <f>J34+K34</f>
        <v>71577.05</v>
      </c>
      <c r="M34" s="253"/>
      <c r="N34" s="254">
        <v>25407.25</v>
      </c>
      <c r="O34" s="313"/>
      <c r="P34" s="252">
        <f>N34+O34</f>
        <v>25407.25</v>
      </c>
      <c r="Q34" s="254">
        <v>3000</v>
      </c>
      <c r="R34" s="251"/>
      <c r="S34" s="251"/>
      <c r="T34" s="256">
        <f>Q34+S34</f>
        <v>3000</v>
      </c>
      <c r="U34" s="251"/>
      <c r="V34" s="251"/>
      <c r="W34" s="251"/>
      <c r="X34" s="251"/>
      <c r="Y34" s="251"/>
      <c r="Z34" s="251"/>
      <c r="AA34" s="251"/>
      <c r="AB34" s="251"/>
      <c r="AC34" s="252">
        <v>1000</v>
      </c>
      <c r="AD34" s="214">
        <f t="shared" ref="AD34" si="27">AB34+AC34</f>
        <v>1000</v>
      </c>
      <c r="AE34" s="304"/>
      <c r="AF34" s="214">
        <f t="shared" ref="AF34" si="28">AD34+AE34</f>
        <v>1000</v>
      </c>
      <c r="AG34" s="255"/>
      <c r="AH34" s="257"/>
      <c r="AI34" s="258"/>
      <c r="AJ34" s="183">
        <f t="shared" si="5"/>
        <v>67577.05</v>
      </c>
    </row>
    <row r="35" spans="1:36" ht="34.5" hidden="1" thickBot="1">
      <c r="A35" s="238" t="s">
        <v>33</v>
      </c>
      <c r="B35" s="239"/>
      <c r="C35" s="239"/>
      <c r="D35" s="239"/>
      <c r="E35" s="240" t="s">
        <v>32</v>
      </c>
      <c r="F35" s="241">
        <f>A36</f>
        <v>1</v>
      </c>
      <c r="G35" s="241"/>
      <c r="H35" s="243"/>
      <c r="I35" s="243"/>
      <c r="J35" s="242">
        <f>SUM(J36)</f>
        <v>47958</v>
      </c>
      <c r="K35" s="303">
        <f t="shared" ref="K35:AG35" si="29">SUM(K36)</f>
        <v>0</v>
      </c>
      <c r="L35" s="242">
        <f t="shared" si="29"/>
        <v>47958</v>
      </c>
      <c r="M35" s="242">
        <f t="shared" si="29"/>
        <v>0</v>
      </c>
      <c r="N35" s="242">
        <f t="shared" si="29"/>
        <v>46632.72</v>
      </c>
      <c r="O35" s="303">
        <f t="shared" si="29"/>
        <v>0</v>
      </c>
      <c r="P35" s="242">
        <f t="shared" si="29"/>
        <v>46632.72</v>
      </c>
      <c r="Q35" s="242">
        <f t="shared" si="29"/>
        <v>5200</v>
      </c>
      <c r="R35" s="242">
        <f t="shared" si="29"/>
        <v>0</v>
      </c>
      <c r="S35" s="242">
        <f t="shared" si="29"/>
        <v>0</v>
      </c>
      <c r="T35" s="242">
        <f t="shared" si="29"/>
        <v>5200</v>
      </c>
      <c r="U35" s="242">
        <f t="shared" si="29"/>
        <v>42758</v>
      </c>
      <c r="V35" s="242">
        <f t="shared" si="29"/>
        <v>0</v>
      </c>
      <c r="W35" s="242">
        <f t="shared" si="29"/>
        <v>42758</v>
      </c>
      <c r="X35" s="242">
        <f t="shared" si="29"/>
        <v>41432.720000000001</v>
      </c>
      <c r="Y35" s="242">
        <f t="shared" si="29"/>
        <v>0</v>
      </c>
      <c r="Z35" s="242">
        <f t="shared" si="29"/>
        <v>41432.720000000001</v>
      </c>
      <c r="AA35" s="242">
        <f t="shared" si="29"/>
        <v>0</v>
      </c>
      <c r="AB35" s="242">
        <f t="shared" si="29"/>
        <v>0</v>
      </c>
      <c r="AC35" s="242">
        <f t="shared" si="29"/>
        <v>500</v>
      </c>
      <c r="AD35" s="242">
        <f t="shared" si="29"/>
        <v>500</v>
      </c>
      <c r="AE35" s="303">
        <f t="shared" si="29"/>
        <v>0</v>
      </c>
      <c r="AF35" s="242">
        <f t="shared" si="29"/>
        <v>500</v>
      </c>
      <c r="AG35" s="242">
        <f t="shared" si="29"/>
        <v>0</v>
      </c>
      <c r="AH35" s="259"/>
      <c r="AI35" s="260"/>
      <c r="AJ35" s="183"/>
    </row>
    <row r="36" spans="1:36" ht="24" hidden="1" thickBot="1">
      <c r="A36" s="185">
        <v>1</v>
      </c>
      <c r="B36" s="186" t="s">
        <v>460</v>
      </c>
      <c r="C36" s="186" t="s">
        <v>461</v>
      </c>
      <c r="D36" s="186" t="s">
        <v>83</v>
      </c>
      <c r="E36" s="375" t="s">
        <v>462</v>
      </c>
      <c r="F36" s="376">
        <v>1</v>
      </c>
      <c r="G36" s="244"/>
      <c r="H36" s="189" t="s">
        <v>46</v>
      </c>
      <c r="I36" s="189" t="s">
        <v>46</v>
      </c>
      <c r="J36" s="377">
        <v>47958</v>
      </c>
      <c r="K36" s="378"/>
      <c r="L36" s="191">
        <f>SUM(J36:K36)</f>
        <v>47958</v>
      </c>
      <c r="M36" s="213"/>
      <c r="N36" s="377">
        <v>46632.72</v>
      </c>
      <c r="O36" s="378"/>
      <c r="P36" s="191">
        <f>N36+O36</f>
        <v>46632.72</v>
      </c>
      <c r="Q36" s="191">
        <f>3900+1300</f>
        <v>5200</v>
      </c>
      <c r="R36" s="282"/>
      <c r="S36" s="282"/>
      <c r="T36" s="191">
        <f t="shared" ref="T36" si="30">SUM(Q36:S36)</f>
        <v>5200</v>
      </c>
      <c r="U36" s="213">
        <f>J36-Q36-S36</f>
        <v>42758</v>
      </c>
      <c r="V36" s="213">
        <f>K36-R36</f>
        <v>0</v>
      </c>
      <c r="W36" s="213">
        <f>SUM(U36:V36)</f>
        <v>42758</v>
      </c>
      <c r="X36" s="213">
        <f>N36-Q36-S36</f>
        <v>41432.720000000001</v>
      </c>
      <c r="Y36" s="213">
        <f>O36-R36</f>
        <v>0</v>
      </c>
      <c r="Z36" s="213">
        <f>SUM(X36:Y36)</f>
        <v>41432.720000000001</v>
      </c>
      <c r="AA36" s="213"/>
      <c r="AB36" s="191"/>
      <c r="AC36" s="191">
        <v>500</v>
      </c>
      <c r="AD36" s="192">
        <f t="shared" ref="AD36" si="31">AB36+AC36</f>
        <v>500</v>
      </c>
      <c r="AE36" s="314"/>
      <c r="AF36" s="192">
        <f t="shared" ref="AF36" si="32">AD36+AE36</f>
        <v>500</v>
      </c>
      <c r="AG36" s="245"/>
      <c r="AH36" s="379"/>
      <c r="AI36" s="194"/>
      <c r="AJ36" s="183"/>
    </row>
    <row r="37" spans="1:36" ht="30.75">
      <c r="A37" s="481" t="s">
        <v>512</v>
      </c>
      <c r="B37" s="481"/>
      <c r="C37" s="481"/>
      <c r="D37" s="481"/>
      <c r="E37" s="481"/>
      <c r="F37" s="380"/>
      <c r="G37" s="262"/>
      <c r="H37" s="381"/>
      <c r="I37" s="381"/>
      <c r="J37" s="382">
        <f>SUBTOTAL(9,J10:J33)</f>
        <v>47311</v>
      </c>
      <c r="K37" s="382">
        <f>SUBTOTAL(9,K10:K33)</f>
        <v>741608.88</v>
      </c>
      <c r="L37" s="382">
        <f t="shared" ref="L37:N37" si="33">SUBTOTAL(9,L10:L33)</f>
        <v>788919.88</v>
      </c>
      <c r="M37" s="382">
        <f t="shared" si="33"/>
        <v>0</v>
      </c>
      <c r="N37" s="382">
        <f t="shared" si="33"/>
        <v>5424</v>
      </c>
      <c r="O37" s="382">
        <f>SUBTOTAL(9,O10:O33)</f>
        <v>82420.25</v>
      </c>
      <c r="P37" s="382">
        <f t="shared" ref="P37:Q37" si="34">SUBTOTAL(9,P10:P33)</f>
        <v>87844.25</v>
      </c>
      <c r="Q37" s="382">
        <f t="shared" si="34"/>
        <v>3029</v>
      </c>
      <c r="R37" s="383">
        <f>SUBTOTAL(9,R10:R33)</f>
        <v>77463.25</v>
      </c>
      <c r="S37" s="383">
        <f t="shared" ref="S37:AD37" si="35">SUBTOTAL(9,S10:S33)</f>
        <v>0</v>
      </c>
      <c r="T37" s="383">
        <f t="shared" si="35"/>
        <v>80492.25</v>
      </c>
      <c r="U37" s="383">
        <f t="shared" si="35"/>
        <v>31082</v>
      </c>
      <c r="V37" s="383">
        <f t="shared" si="35"/>
        <v>214968.63</v>
      </c>
      <c r="W37" s="383">
        <f t="shared" si="35"/>
        <v>246050.63</v>
      </c>
      <c r="X37" s="383">
        <f t="shared" si="35"/>
        <v>2395</v>
      </c>
      <c r="Y37" s="383">
        <f t="shared" si="35"/>
        <v>4957.0000000000009</v>
      </c>
      <c r="Z37" s="383">
        <f t="shared" si="35"/>
        <v>7352.0000000000009</v>
      </c>
      <c r="AA37" s="383">
        <f t="shared" si="35"/>
        <v>0</v>
      </c>
      <c r="AB37" s="383">
        <f t="shared" si="35"/>
        <v>450</v>
      </c>
      <c r="AC37" s="383">
        <f t="shared" si="35"/>
        <v>1200</v>
      </c>
      <c r="AD37" s="383">
        <f t="shared" si="35"/>
        <v>1650</v>
      </c>
      <c r="AE37" s="394">
        <f>SUBTOTAL(9,AE10:AE33)</f>
        <v>30610</v>
      </c>
      <c r="AF37" s="382">
        <f t="shared" ref="AF37:AG37" si="36">SUBTOTAL(9,AF10:AF33)</f>
        <v>32260</v>
      </c>
      <c r="AG37" s="382">
        <f t="shared" si="36"/>
        <v>0</v>
      </c>
      <c r="AH37" s="384"/>
      <c r="AI37" s="384"/>
      <c r="AJ37" s="264"/>
    </row>
    <row r="38" spans="1:36" ht="30.75">
      <c r="A38" s="261"/>
      <c r="B38" s="262"/>
      <c r="C38" s="262"/>
      <c r="D38" s="262"/>
      <c r="E38" s="262"/>
      <c r="F38" s="262"/>
      <c r="G38" s="262"/>
      <c r="H38" s="263"/>
      <c r="AC38" s="267"/>
      <c r="AD38" s="267"/>
      <c r="AE38" s="395">
        <f>AE37+'ມູນຄ່າໜ້ອຍກວ່າ 20ຕື້ກີບ'!AD188</f>
        <v>30610</v>
      </c>
      <c r="AF38" s="268"/>
      <c r="AG38" s="267"/>
      <c r="AH38" s="268"/>
      <c r="AI38" s="267"/>
      <c r="AJ38" s="264"/>
    </row>
    <row r="39" spans="1:36" ht="30.75">
      <c r="A39" s="261"/>
      <c r="B39" s="262"/>
      <c r="C39" s="262"/>
      <c r="D39" s="262"/>
      <c r="E39" s="262"/>
      <c r="F39" s="262"/>
      <c r="G39" s="262"/>
      <c r="H39" s="263"/>
      <c r="M39" s="167">
        <f t="shared" ref="M39:AE39" si="37">SUBTOTAL(9,M37:M38)</f>
        <v>0</v>
      </c>
      <c r="U39" s="167">
        <f t="shared" si="37"/>
        <v>0</v>
      </c>
      <c r="V39" s="167">
        <f t="shared" si="37"/>
        <v>0</v>
      </c>
      <c r="W39" s="167">
        <f t="shared" si="37"/>
        <v>0</v>
      </c>
      <c r="X39" s="167">
        <f t="shared" si="37"/>
        <v>0</v>
      </c>
      <c r="Y39" s="167">
        <f t="shared" si="37"/>
        <v>0</v>
      </c>
      <c r="Z39" s="167">
        <f t="shared" si="37"/>
        <v>0</v>
      </c>
      <c r="AA39" s="167">
        <f t="shared" si="37"/>
        <v>0</v>
      </c>
      <c r="AF39" s="268"/>
      <c r="AG39" s="267"/>
      <c r="AH39" s="268"/>
      <c r="AI39" s="267"/>
      <c r="AJ39" s="264"/>
    </row>
    <row r="40" spans="1:36" ht="30.75">
      <c r="A40" s="261"/>
      <c r="B40" s="262"/>
      <c r="C40" s="262"/>
      <c r="D40" s="262"/>
      <c r="E40" s="262"/>
      <c r="F40" s="262"/>
      <c r="G40" s="262"/>
      <c r="H40" s="263"/>
      <c r="I40" s="263"/>
      <c r="M40" s="269"/>
      <c r="N40" s="269"/>
      <c r="O40" s="269"/>
      <c r="P40" s="269"/>
      <c r="Q40" s="269"/>
      <c r="R40" s="269"/>
      <c r="S40" s="269"/>
      <c r="T40" s="269"/>
      <c r="U40" s="267"/>
      <c r="V40" s="267"/>
      <c r="W40" s="270"/>
      <c r="X40" s="271"/>
      <c r="Y40" s="271"/>
      <c r="Z40" s="271"/>
      <c r="AA40" s="267"/>
      <c r="AB40" s="267"/>
      <c r="AC40" s="267"/>
      <c r="AD40" s="267"/>
      <c r="AE40" s="267"/>
      <c r="AF40" s="272"/>
      <c r="AG40" s="262"/>
      <c r="AH40" s="272"/>
      <c r="AI40" s="262"/>
      <c r="AJ40" s="264"/>
    </row>
    <row r="41" spans="1:36" ht="30.75">
      <c r="A41" s="261"/>
      <c r="B41" s="262"/>
      <c r="C41" s="262"/>
      <c r="D41" s="262"/>
      <c r="E41" s="262"/>
      <c r="F41" s="262"/>
      <c r="G41" s="262"/>
      <c r="H41" s="263"/>
      <c r="I41" s="263"/>
      <c r="J41" s="262"/>
      <c r="K41" s="262"/>
      <c r="L41" s="273"/>
      <c r="M41" s="273"/>
      <c r="N41" s="273"/>
      <c r="O41" s="273"/>
      <c r="P41" s="273"/>
      <c r="Q41" s="262"/>
      <c r="R41" s="262"/>
      <c r="S41" s="267"/>
      <c r="T41" s="264"/>
      <c r="U41" s="264"/>
      <c r="V41" s="264"/>
      <c r="W41" s="264"/>
      <c r="X41" s="264"/>
      <c r="Y41" s="264"/>
      <c r="Z41" s="264"/>
      <c r="AA41" s="264"/>
      <c r="AB41" s="264"/>
      <c r="AJ41" s="264"/>
    </row>
    <row r="42" spans="1:36" ht="30.75">
      <c r="A42" s="274"/>
      <c r="B42" s="274"/>
      <c r="C42" s="274"/>
      <c r="D42" s="274"/>
      <c r="E42" s="274"/>
      <c r="F42" s="274"/>
      <c r="G42" s="274"/>
      <c r="H42" s="275"/>
      <c r="I42" s="275"/>
      <c r="J42" s="274"/>
      <c r="K42" s="274"/>
      <c r="L42" s="273"/>
      <c r="M42" s="273"/>
      <c r="N42" s="273"/>
      <c r="O42" s="273"/>
      <c r="P42" s="273"/>
      <c r="Q42" s="262"/>
      <c r="R42" s="262"/>
      <c r="S42" s="267"/>
      <c r="T42" s="264"/>
      <c r="U42" s="264"/>
      <c r="V42" s="264"/>
      <c r="W42" s="265"/>
      <c r="X42" s="264"/>
      <c r="Y42" s="265"/>
      <c r="Z42" s="264"/>
      <c r="AA42" s="264"/>
      <c r="AB42" s="264"/>
    </row>
    <row r="43" spans="1:36" ht="30.75">
      <c r="L43" s="273"/>
      <c r="M43" s="273"/>
      <c r="N43" s="273"/>
      <c r="O43" s="273"/>
      <c r="P43" s="273"/>
      <c r="Q43" s="262"/>
      <c r="R43" s="262"/>
      <c r="S43" s="262"/>
      <c r="T43" s="264"/>
      <c r="U43" s="265"/>
      <c r="V43" s="264"/>
      <c r="W43" s="265"/>
      <c r="X43" s="264"/>
      <c r="Y43" s="265"/>
      <c r="Z43" s="264"/>
      <c r="AA43" s="262"/>
      <c r="AB43" s="262"/>
      <c r="AC43" s="262"/>
      <c r="AD43" s="262"/>
      <c r="AE43" s="262"/>
      <c r="AF43" s="262"/>
      <c r="AG43" s="262"/>
      <c r="AH43" s="262"/>
      <c r="AI43" s="262"/>
    </row>
    <row r="44" spans="1:36" ht="24">
      <c r="L44" s="273"/>
      <c r="M44" s="273"/>
      <c r="N44" s="273"/>
      <c r="O44" s="273"/>
      <c r="P44" s="273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</row>
    <row r="45" spans="1:36" ht="15" customHeight="1">
      <c r="L45" s="273"/>
      <c r="M45" s="273"/>
      <c r="N45" s="273"/>
      <c r="O45" s="273"/>
      <c r="P45" s="273"/>
      <c r="Q45" s="273"/>
      <c r="R45" s="273"/>
    </row>
    <row r="46" spans="1:36" ht="15" customHeight="1">
      <c r="L46" s="273"/>
      <c r="M46" s="273"/>
      <c r="N46" s="273"/>
      <c r="O46" s="273"/>
      <c r="P46" s="273"/>
      <c r="Q46" s="273"/>
      <c r="R46" s="273"/>
    </row>
    <row r="47" spans="1:36" ht="15" customHeight="1">
      <c r="L47" s="273"/>
      <c r="M47" s="273"/>
      <c r="N47" s="273"/>
      <c r="O47" s="273"/>
      <c r="P47" s="273"/>
      <c r="Q47" s="273"/>
      <c r="R47" s="273"/>
    </row>
    <row r="48" spans="1:36" ht="15" customHeight="1">
      <c r="L48" s="273"/>
      <c r="M48" s="273"/>
      <c r="N48" s="273"/>
      <c r="O48" s="273"/>
      <c r="P48" s="273"/>
      <c r="Q48" s="273"/>
      <c r="R48" s="273"/>
    </row>
  </sheetData>
  <autoFilter ref="A9:WWU36">
    <filterColumn colId="10">
      <filters>
        <filter val="22,698.28"/>
        <filter val="220,000.00"/>
        <filter val="24,713.00"/>
        <filter val="424,464.00"/>
        <filter val="49,733.60"/>
      </filters>
    </filterColumn>
  </autoFilter>
  <mergeCells count="50">
    <mergeCell ref="A2:AH2"/>
    <mergeCell ref="A3:AE3"/>
    <mergeCell ref="AE4:AI4"/>
    <mergeCell ref="A5:A8"/>
    <mergeCell ref="E5:E8"/>
    <mergeCell ref="F5:F8"/>
    <mergeCell ref="H5:I6"/>
    <mergeCell ref="J5:L6"/>
    <mergeCell ref="N5:P5"/>
    <mergeCell ref="Q5:T6"/>
    <mergeCell ref="G6:G8"/>
    <mergeCell ref="M6:M8"/>
    <mergeCell ref="N6:P6"/>
    <mergeCell ref="AB6:AD6"/>
    <mergeCell ref="AE6:AE8"/>
    <mergeCell ref="H7:H8"/>
    <mergeCell ref="R7:R8"/>
    <mergeCell ref="S7:S8"/>
    <mergeCell ref="T7:T8"/>
    <mergeCell ref="U7:U8"/>
    <mergeCell ref="V7:V8"/>
    <mergeCell ref="L7:L8"/>
    <mergeCell ref="N7:N8"/>
    <mergeCell ref="O7:O8"/>
    <mergeCell ref="P7:P8"/>
    <mergeCell ref="Q7:Q8"/>
    <mergeCell ref="W7:W8"/>
    <mergeCell ref="Y7:Y8"/>
    <mergeCell ref="U5:W6"/>
    <mergeCell ref="X5:Z6"/>
    <mergeCell ref="X7:X8"/>
    <mergeCell ref="Z7:Z8"/>
    <mergeCell ref="I7:I8"/>
    <mergeCell ref="J7:J8"/>
    <mergeCell ref="K7:K8"/>
    <mergeCell ref="A37:E37"/>
    <mergeCell ref="D5:D8"/>
    <mergeCell ref="B5:C7"/>
    <mergeCell ref="AI7:AI8"/>
    <mergeCell ref="AF6:AF8"/>
    <mergeCell ref="AH5:AH6"/>
    <mergeCell ref="AI5:AI6"/>
    <mergeCell ref="AG6:AG8"/>
    <mergeCell ref="AB7:AB8"/>
    <mergeCell ref="AC7:AC8"/>
    <mergeCell ref="AD7:AD8"/>
    <mergeCell ref="AH7:AH8"/>
    <mergeCell ref="AA5:AA6"/>
    <mergeCell ref="AB5:AF5"/>
    <mergeCell ref="AA7:AA8"/>
  </mergeCells>
  <printOptions horizontalCentered="1"/>
  <pageMargins left="0" right="0" top="0" bottom="0.25" header="0" footer="0"/>
  <pageSetup paperSize="5" scale="48"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2:AR196"/>
  <sheetViews>
    <sheetView topLeftCell="Q1" zoomScale="60" zoomScaleNormal="60" workbookViewId="0">
      <selection activeCell="L1" sqref="L1:L1048576"/>
    </sheetView>
  </sheetViews>
  <sheetFormatPr defaultColWidth="9" defaultRowHeight="15"/>
  <cols>
    <col min="1" max="1" width="4.7109375" style="1" customWidth="1"/>
    <col min="2" max="2" width="8.140625" style="1" customWidth="1"/>
    <col min="3" max="3" width="16" style="1" customWidth="1"/>
    <col min="4" max="4" width="12.7109375" style="1" customWidth="1"/>
    <col min="5" max="5" width="87.7109375" style="1" customWidth="1"/>
    <col min="6" max="6" width="8.28515625" style="1" customWidth="1"/>
    <col min="7" max="7" width="7.5703125" style="1" hidden="1" customWidth="1"/>
    <col min="8" max="8" width="11.5703125" style="1" customWidth="1"/>
    <col min="9" max="9" width="11.42578125" style="1" customWidth="1"/>
    <col min="10" max="10" width="15.42578125" style="344" customWidth="1"/>
    <col min="11" max="11" width="15.42578125" style="344" bestFit="1" customWidth="1"/>
    <col min="12" max="12" width="15.5703125" style="344" bestFit="1" customWidth="1"/>
    <col min="13" max="13" width="7.28515625" style="1" hidden="1" customWidth="1"/>
    <col min="14" max="16" width="15.5703125" style="344" bestFit="1" customWidth="1"/>
    <col min="17" max="17" width="13.42578125" style="344" bestFit="1" customWidth="1"/>
    <col min="18" max="18" width="15.5703125" style="344" bestFit="1" customWidth="1"/>
    <col min="19" max="19" width="10.28515625" style="344" customWidth="1"/>
    <col min="20" max="20" width="14" style="344" bestFit="1" customWidth="1"/>
    <col min="21" max="21" width="14" style="1" hidden="1" customWidth="1"/>
    <col min="22" max="22" width="12" style="1" hidden="1" customWidth="1"/>
    <col min="23" max="23" width="14" style="1" hidden="1" customWidth="1"/>
    <col min="24" max="24" width="12.5703125" style="1" hidden="1" customWidth="1"/>
    <col min="25" max="25" width="10.140625" style="1" hidden="1" customWidth="1"/>
    <col min="26" max="26" width="12.42578125" style="1" hidden="1" customWidth="1"/>
    <col min="27" max="27" width="11.28515625" style="344" customWidth="1"/>
    <col min="28" max="28" width="10.42578125" style="344" customWidth="1"/>
    <col min="29" max="29" width="11.5703125" style="344" bestFit="1" customWidth="1"/>
    <col min="30" max="30" width="12.5703125" style="344" bestFit="1" customWidth="1"/>
    <col min="31" max="31" width="10.42578125" style="1" customWidth="1"/>
    <col min="32" max="32" width="11.28515625" style="1" hidden="1" customWidth="1"/>
    <col min="33" max="33" width="7.5703125" style="1" customWidth="1"/>
    <col min="34" max="34" width="9.7109375" style="1" customWidth="1"/>
    <col min="35" max="35" width="18.7109375" style="1" customWidth="1"/>
    <col min="36" max="36" width="14.140625" style="1" customWidth="1"/>
    <col min="37" max="37" width="11.7109375" style="1" bestFit="1" customWidth="1"/>
    <col min="38" max="38" width="10.140625" style="1" bestFit="1" customWidth="1"/>
    <col min="39" max="255" width="9" style="1"/>
    <col min="256" max="256" width="4.7109375" style="1" customWidth="1"/>
    <col min="257" max="257" width="8.140625" style="1" customWidth="1"/>
    <col min="258" max="258" width="16" style="1" customWidth="1"/>
    <col min="259" max="259" width="13.28515625" style="1" customWidth="1"/>
    <col min="260" max="260" width="87.7109375" style="1" customWidth="1"/>
    <col min="261" max="261" width="8.28515625" style="1" customWidth="1"/>
    <col min="262" max="262" width="0" style="1" hidden="1" customWidth="1"/>
    <col min="263" max="263" width="11.5703125" style="1" customWidth="1"/>
    <col min="264" max="264" width="11.42578125" style="1" customWidth="1"/>
    <col min="265" max="265" width="14.5703125" style="1" customWidth="1"/>
    <col min="266" max="266" width="13.5703125" style="1" customWidth="1"/>
    <col min="267" max="267" width="14.85546875" style="1" customWidth="1"/>
    <col min="268" max="268" width="0" style="1" hidden="1" customWidth="1"/>
    <col min="269" max="269" width="14.5703125" style="1" customWidth="1"/>
    <col min="270" max="270" width="12.140625" style="1" customWidth="1"/>
    <col min="271" max="271" width="13.85546875" style="1" customWidth="1"/>
    <col min="272" max="272" width="15.28515625" style="1" customWidth="1"/>
    <col min="273" max="273" width="11.7109375" style="1" customWidth="1"/>
    <col min="274" max="274" width="8.85546875" style="1" customWidth="1"/>
    <col min="275" max="275" width="12" style="1" customWidth="1"/>
    <col min="276" max="281" width="0" style="1" hidden="1" customWidth="1"/>
    <col min="282" max="282" width="9.42578125" style="1" customWidth="1"/>
    <col min="283" max="283" width="12.140625" style="1" customWidth="1"/>
    <col min="284" max="284" width="11.42578125" style="1" customWidth="1"/>
    <col min="285" max="285" width="11.28515625" style="1" bestFit="1" customWidth="1"/>
    <col min="286" max="286" width="10.85546875" style="1" customWidth="1"/>
    <col min="287" max="287" width="11.5703125" style="1" customWidth="1"/>
    <col min="288" max="288" width="0" style="1" hidden="1" customWidth="1"/>
    <col min="289" max="289" width="8" style="1" customWidth="1"/>
    <col min="290" max="290" width="7.28515625" style="1" customWidth="1"/>
    <col min="291" max="291" width="18.7109375" style="1" customWidth="1"/>
    <col min="292" max="292" width="14.140625" style="1" customWidth="1"/>
    <col min="293" max="293" width="11.7109375" style="1" bestFit="1" customWidth="1"/>
    <col min="294" max="294" width="10.140625" style="1" bestFit="1" customWidth="1"/>
    <col min="295" max="511" width="9" style="1"/>
    <col min="512" max="512" width="4.7109375" style="1" customWidth="1"/>
    <col min="513" max="513" width="8.140625" style="1" customWidth="1"/>
    <col min="514" max="514" width="16" style="1" customWidth="1"/>
    <col min="515" max="515" width="13.28515625" style="1" customWidth="1"/>
    <col min="516" max="516" width="87.7109375" style="1" customWidth="1"/>
    <col min="517" max="517" width="8.28515625" style="1" customWidth="1"/>
    <col min="518" max="518" width="0" style="1" hidden="1" customWidth="1"/>
    <col min="519" max="519" width="11.5703125" style="1" customWidth="1"/>
    <col min="520" max="520" width="11.42578125" style="1" customWidth="1"/>
    <col min="521" max="521" width="14.5703125" style="1" customWidth="1"/>
    <col min="522" max="522" width="13.5703125" style="1" customWidth="1"/>
    <col min="523" max="523" width="14.85546875" style="1" customWidth="1"/>
    <col min="524" max="524" width="0" style="1" hidden="1" customWidth="1"/>
    <col min="525" max="525" width="14.5703125" style="1" customWidth="1"/>
    <col min="526" max="526" width="12.140625" style="1" customWidth="1"/>
    <col min="527" max="527" width="13.85546875" style="1" customWidth="1"/>
    <col min="528" max="528" width="15.28515625" style="1" customWidth="1"/>
    <col min="529" max="529" width="11.7109375" style="1" customWidth="1"/>
    <col min="530" max="530" width="8.85546875" style="1" customWidth="1"/>
    <col min="531" max="531" width="12" style="1" customWidth="1"/>
    <col min="532" max="537" width="0" style="1" hidden="1" customWidth="1"/>
    <col min="538" max="538" width="9.42578125" style="1" customWidth="1"/>
    <col min="539" max="539" width="12.140625" style="1" customWidth="1"/>
    <col min="540" max="540" width="11.42578125" style="1" customWidth="1"/>
    <col min="541" max="541" width="11.28515625" style="1" bestFit="1" customWidth="1"/>
    <col min="542" max="542" width="10.85546875" style="1" customWidth="1"/>
    <col min="543" max="543" width="11.5703125" style="1" customWidth="1"/>
    <col min="544" max="544" width="0" style="1" hidden="1" customWidth="1"/>
    <col min="545" max="545" width="8" style="1" customWidth="1"/>
    <col min="546" max="546" width="7.28515625" style="1" customWidth="1"/>
    <col min="547" max="547" width="18.7109375" style="1" customWidth="1"/>
    <col min="548" max="548" width="14.140625" style="1" customWidth="1"/>
    <col min="549" max="549" width="11.7109375" style="1" bestFit="1" customWidth="1"/>
    <col min="550" max="550" width="10.140625" style="1" bestFit="1" customWidth="1"/>
    <col min="551" max="767" width="9" style="1"/>
    <col min="768" max="768" width="4.7109375" style="1" customWidth="1"/>
    <col min="769" max="769" width="8.140625" style="1" customWidth="1"/>
    <col min="770" max="770" width="16" style="1" customWidth="1"/>
    <col min="771" max="771" width="13.28515625" style="1" customWidth="1"/>
    <col min="772" max="772" width="87.7109375" style="1" customWidth="1"/>
    <col min="773" max="773" width="8.28515625" style="1" customWidth="1"/>
    <col min="774" max="774" width="0" style="1" hidden="1" customWidth="1"/>
    <col min="775" max="775" width="11.5703125" style="1" customWidth="1"/>
    <col min="776" max="776" width="11.42578125" style="1" customWidth="1"/>
    <col min="777" max="777" width="14.5703125" style="1" customWidth="1"/>
    <col min="778" max="778" width="13.5703125" style="1" customWidth="1"/>
    <col min="779" max="779" width="14.85546875" style="1" customWidth="1"/>
    <col min="780" max="780" width="0" style="1" hidden="1" customWidth="1"/>
    <col min="781" max="781" width="14.5703125" style="1" customWidth="1"/>
    <col min="782" max="782" width="12.140625" style="1" customWidth="1"/>
    <col min="783" max="783" width="13.85546875" style="1" customWidth="1"/>
    <col min="784" max="784" width="15.28515625" style="1" customWidth="1"/>
    <col min="785" max="785" width="11.7109375" style="1" customWidth="1"/>
    <col min="786" max="786" width="8.85546875" style="1" customWidth="1"/>
    <col min="787" max="787" width="12" style="1" customWidth="1"/>
    <col min="788" max="793" width="0" style="1" hidden="1" customWidth="1"/>
    <col min="794" max="794" width="9.42578125" style="1" customWidth="1"/>
    <col min="795" max="795" width="12.140625" style="1" customWidth="1"/>
    <col min="796" max="796" width="11.42578125" style="1" customWidth="1"/>
    <col min="797" max="797" width="11.28515625" style="1" bestFit="1" customWidth="1"/>
    <col min="798" max="798" width="10.85546875" style="1" customWidth="1"/>
    <col min="799" max="799" width="11.5703125" style="1" customWidth="1"/>
    <col min="800" max="800" width="0" style="1" hidden="1" customWidth="1"/>
    <col min="801" max="801" width="8" style="1" customWidth="1"/>
    <col min="802" max="802" width="7.28515625" style="1" customWidth="1"/>
    <col min="803" max="803" width="18.7109375" style="1" customWidth="1"/>
    <col min="804" max="804" width="14.140625" style="1" customWidth="1"/>
    <col min="805" max="805" width="11.7109375" style="1" bestFit="1" customWidth="1"/>
    <col min="806" max="806" width="10.140625" style="1" bestFit="1" customWidth="1"/>
    <col min="807" max="1023" width="9" style="1"/>
    <col min="1024" max="1024" width="4.7109375" style="1" customWidth="1"/>
    <col min="1025" max="1025" width="8.140625" style="1" customWidth="1"/>
    <col min="1026" max="1026" width="16" style="1" customWidth="1"/>
    <col min="1027" max="1027" width="13.28515625" style="1" customWidth="1"/>
    <col min="1028" max="1028" width="87.7109375" style="1" customWidth="1"/>
    <col min="1029" max="1029" width="8.28515625" style="1" customWidth="1"/>
    <col min="1030" max="1030" width="0" style="1" hidden="1" customWidth="1"/>
    <col min="1031" max="1031" width="11.5703125" style="1" customWidth="1"/>
    <col min="1032" max="1032" width="11.42578125" style="1" customWidth="1"/>
    <col min="1033" max="1033" width="14.5703125" style="1" customWidth="1"/>
    <col min="1034" max="1034" width="13.5703125" style="1" customWidth="1"/>
    <col min="1035" max="1035" width="14.85546875" style="1" customWidth="1"/>
    <col min="1036" max="1036" width="0" style="1" hidden="1" customWidth="1"/>
    <col min="1037" max="1037" width="14.5703125" style="1" customWidth="1"/>
    <col min="1038" max="1038" width="12.140625" style="1" customWidth="1"/>
    <col min="1039" max="1039" width="13.85546875" style="1" customWidth="1"/>
    <col min="1040" max="1040" width="15.28515625" style="1" customWidth="1"/>
    <col min="1041" max="1041" width="11.7109375" style="1" customWidth="1"/>
    <col min="1042" max="1042" width="8.85546875" style="1" customWidth="1"/>
    <col min="1043" max="1043" width="12" style="1" customWidth="1"/>
    <col min="1044" max="1049" width="0" style="1" hidden="1" customWidth="1"/>
    <col min="1050" max="1050" width="9.42578125" style="1" customWidth="1"/>
    <col min="1051" max="1051" width="12.140625" style="1" customWidth="1"/>
    <col min="1052" max="1052" width="11.42578125" style="1" customWidth="1"/>
    <col min="1053" max="1053" width="11.28515625" style="1" bestFit="1" customWidth="1"/>
    <col min="1054" max="1054" width="10.85546875" style="1" customWidth="1"/>
    <col min="1055" max="1055" width="11.5703125" style="1" customWidth="1"/>
    <col min="1056" max="1056" width="0" style="1" hidden="1" customWidth="1"/>
    <col min="1057" max="1057" width="8" style="1" customWidth="1"/>
    <col min="1058" max="1058" width="7.28515625" style="1" customWidth="1"/>
    <col min="1059" max="1059" width="18.7109375" style="1" customWidth="1"/>
    <col min="1060" max="1060" width="14.140625" style="1" customWidth="1"/>
    <col min="1061" max="1061" width="11.7109375" style="1" bestFit="1" customWidth="1"/>
    <col min="1062" max="1062" width="10.140625" style="1" bestFit="1" customWidth="1"/>
    <col min="1063" max="1279" width="9" style="1"/>
    <col min="1280" max="1280" width="4.7109375" style="1" customWidth="1"/>
    <col min="1281" max="1281" width="8.140625" style="1" customWidth="1"/>
    <col min="1282" max="1282" width="16" style="1" customWidth="1"/>
    <col min="1283" max="1283" width="13.28515625" style="1" customWidth="1"/>
    <col min="1284" max="1284" width="87.7109375" style="1" customWidth="1"/>
    <col min="1285" max="1285" width="8.28515625" style="1" customWidth="1"/>
    <col min="1286" max="1286" width="0" style="1" hidden="1" customWidth="1"/>
    <col min="1287" max="1287" width="11.5703125" style="1" customWidth="1"/>
    <col min="1288" max="1288" width="11.42578125" style="1" customWidth="1"/>
    <col min="1289" max="1289" width="14.5703125" style="1" customWidth="1"/>
    <col min="1290" max="1290" width="13.5703125" style="1" customWidth="1"/>
    <col min="1291" max="1291" width="14.85546875" style="1" customWidth="1"/>
    <col min="1292" max="1292" width="0" style="1" hidden="1" customWidth="1"/>
    <col min="1293" max="1293" width="14.5703125" style="1" customWidth="1"/>
    <col min="1294" max="1294" width="12.140625" style="1" customWidth="1"/>
    <col min="1295" max="1295" width="13.85546875" style="1" customWidth="1"/>
    <col min="1296" max="1296" width="15.28515625" style="1" customWidth="1"/>
    <col min="1297" max="1297" width="11.7109375" style="1" customWidth="1"/>
    <col min="1298" max="1298" width="8.85546875" style="1" customWidth="1"/>
    <col min="1299" max="1299" width="12" style="1" customWidth="1"/>
    <col min="1300" max="1305" width="0" style="1" hidden="1" customWidth="1"/>
    <col min="1306" max="1306" width="9.42578125" style="1" customWidth="1"/>
    <col min="1307" max="1307" width="12.140625" style="1" customWidth="1"/>
    <col min="1308" max="1308" width="11.42578125" style="1" customWidth="1"/>
    <col min="1309" max="1309" width="11.28515625" style="1" bestFit="1" customWidth="1"/>
    <col min="1310" max="1310" width="10.85546875" style="1" customWidth="1"/>
    <col min="1311" max="1311" width="11.5703125" style="1" customWidth="1"/>
    <col min="1312" max="1312" width="0" style="1" hidden="1" customWidth="1"/>
    <col min="1313" max="1313" width="8" style="1" customWidth="1"/>
    <col min="1314" max="1314" width="7.28515625" style="1" customWidth="1"/>
    <col min="1315" max="1315" width="18.7109375" style="1" customWidth="1"/>
    <col min="1316" max="1316" width="14.140625" style="1" customWidth="1"/>
    <col min="1317" max="1317" width="11.7109375" style="1" bestFit="1" customWidth="1"/>
    <col min="1318" max="1318" width="10.140625" style="1" bestFit="1" customWidth="1"/>
    <col min="1319" max="1535" width="9" style="1"/>
    <col min="1536" max="1536" width="4.7109375" style="1" customWidth="1"/>
    <col min="1537" max="1537" width="8.140625" style="1" customWidth="1"/>
    <col min="1538" max="1538" width="16" style="1" customWidth="1"/>
    <col min="1539" max="1539" width="13.28515625" style="1" customWidth="1"/>
    <col min="1540" max="1540" width="87.7109375" style="1" customWidth="1"/>
    <col min="1541" max="1541" width="8.28515625" style="1" customWidth="1"/>
    <col min="1542" max="1542" width="0" style="1" hidden="1" customWidth="1"/>
    <col min="1543" max="1543" width="11.5703125" style="1" customWidth="1"/>
    <col min="1544" max="1544" width="11.42578125" style="1" customWidth="1"/>
    <col min="1545" max="1545" width="14.5703125" style="1" customWidth="1"/>
    <col min="1546" max="1546" width="13.5703125" style="1" customWidth="1"/>
    <col min="1547" max="1547" width="14.85546875" style="1" customWidth="1"/>
    <col min="1548" max="1548" width="0" style="1" hidden="1" customWidth="1"/>
    <col min="1549" max="1549" width="14.5703125" style="1" customWidth="1"/>
    <col min="1550" max="1550" width="12.140625" style="1" customWidth="1"/>
    <col min="1551" max="1551" width="13.85546875" style="1" customWidth="1"/>
    <col min="1552" max="1552" width="15.28515625" style="1" customWidth="1"/>
    <col min="1553" max="1553" width="11.7109375" style="1" customWidth="1"/>
    <col min="1554" max="1554" width="8.85546875" style="1" customWidth="1"/>
    <col min="1555" max="1555" width="12" style="1" customWidth="1"/>
    <col min="1556" max="1561" width="0" style="1" hidden="1" customWidth="1"/>
    <col min="1562" max="1562" width="9.42578125" style="1" customWidth="1"/>
    <col min="1563" max="1563" width="12.140625" style="1" customWidth="1"/>
    <col min="1564" max="1564" width="11.42578125" style="1" customWidth="1"/>
    <col min="1565" max="1565" width="11.28515625" style="1" bestFit="1" customWidth="1"/>
    <col min="1566" max="1566" width="10.85546875" style="1" customWidth="1"/>
    <col min="1567" max="1567" width="11.5703125" style="1" customWidth="1"/>
    <col min="1568" max="1568" width="0" style="1" hidden="1" customWidth="1"/>
    <col min="1569" max="1569" width="8" style="1" customWidth="1"/>
    <col min="1570" max="1570" width="7.28515625" style="1" customWidth="1"/>
    <col min="1571" max="1571" width="18.7109375" style="1" customWidth="1"/>
    <col min="1572" max="1572" width="14.140625" style="1" customWidth="1"/>
    <col min="1573" max="1573" width="11.7109375" style="1" bestFit="1" customWidth="1"/>
    <col min="1574" max="1574" width="10.140625" style="1" bestFit="1" customWidth="1"/>
    <col min="1575" max="1791" width="9" style="1"/>
    <col min="1792" max="1792" width="4.7109375" style="1" customWidth="1"/>
    <col min="1793" max="1793" width="8.140625" style="1" customWidth="1"/>
    <col min="1794" max="1794" width="16" style="1" customWidth="1"/>
    <col min="1795" max="1795" width="13.28515625" style="1" customWidth="1"/>
    <col min="1796" max="1796" width="87.7109375" style="1" customWidth="1"/>
    <col min="1797" max="1797" width="8.28515625" style="1" customWidth="1"/>
    <col min="1798" max="1798" width="0" style="1" hidden="1" customWidth="1"/>
    <col min="1799" max="1799" width="11.5703125" style="1" customWidth="1"/>
    <col min="1800" max="1800" width="11.42578125" style="1" customWidth="1"/>
    <col min="1801" max="1801" width="14.5703125" style="1" customWidth="1"/>
    <col min="1802" max="1802" width="13.5703125" style="1" customWidth="1"/>
    <col min="1803" max="1803" width="14.85546875" style="1" customWidth="1"/>
    <col min="1804" max="1804" width="0" style="1" hidden="1" customWidth="1"/>
    <col min="1805" max="1805" width="14.5703125" style="1" customWidth="1"/>
    <col min="1806" max="1806" width="12.140625" style="1" customWidth="1"/>
    <col min="1807" max="1807" width="13.85546875" style="1" customWidth="1"/>
    <col min="1808" max="1808" width="15.28515625" style="1" customWidth="1"/>
    <col min="1809" max="1809" width="11.7109375" style="1" customWidth="1"/>
    <col min="1810" max="1810" width="8.85546875" style="1" customWidth="1"/>
    <col min="1811" max="1811" width="12" style="1" customWidth="1"/>
    <col min="1812" max="1817" width="0" style="1" hidden="1" customWidth="1"/>
    <col min="1818" max="1818" width="9.42578125" style="1" customWidth="1"/>
    <col min="1819" max="1819" width="12.140625" style="1" customWidth="1"/>
    <col min="1820" max="1820" width="11.42578125" style="1" customWidth="1"/>
    <col min="1821" max="1821" width="11.28515625" style="1" bestFit="1" customWidth="1"/>
    <col min="1822" max="1822" width="10.85546875" style="1" customWidth="1"/>
    <col min="1823" max="1823" width="11.5703125" style="1" customWidth="1"/>
    <col min="1824" max="1824" width="0" style="1" hidden="1" customWidth="1"/>
    <col min="1825" max="1825" width="8" style="1" customWidth="1"/>
    <col min="1826" max="1826" width="7.28515625" style="1" customWidth="1"/>
    <col min="1827" max="1827" width="18.7109375" style="1" customWidth="1"/>
    <col min="1828" max="1828" width="14.140625" style="1" customWidth="1"/>
    <col min="1829" max="1829" width="11.7109375" style="1" bestFit="1" customWidth="1"/>
    <col min="1830" max="1830" width="10.140625" style="1" bestFit="1" customWidth="1"/>
    <col min="1831" max="2047" width="9" style="1"/>
    <col min="2048" max="2048" width="4.7109375" style="1" customWidth="1"/>
    <col min="2049" max="2049" width="8.140625" style="1" customWidth="1"/>
    <col min="2050" max="2050" width="16" style="1" customWidth="1"/>
    <col min="2051" max="2051" width="13.28515625" style="1" customWidth="1"/>
    <col min="2052" max="2052" width="87.7109375" style="1" customWidth="1"/>
    <col min="2053" max="2053" width="8.28515625" style="1" customWidth="1"/>
    <col min="2054" max="2054" width="0" style="1" hidden="1" customWidth="1"/>
    <col min="2055" max="2055" width="11.5703125" style="1" customWidth="1"/>
    <col min="2056" max="2056" width="11.42578125" style="1" customWidth="1"/>
    <col min="2057" max="2057" width="14.5703125" style="1" customWidth="1"/>
    <col min="2058" max="2058" width="13.5703125" style="1" customWidth="1"/>
    <col min="2059" max="2059" width="14.85546875" style="1" customWidth="1"/>
    <col min="2060" max="2060" width="0" style="1" hidden="1" customWidth="1"/>
    <col min="2061" max="2061" width="14.5703125" style="1" customWidth="1"/>
    <col min="2062" max="2062" width="12.140625" style="1" customWidth="1"/>
    <col min="2063" max="2063" width="13.85546875" style="1" customWidth="1"/>
    <col min="2064" max="2064" width="15.28515625" style="1" customWidth="1"/>
    <col min="2065" max="2065" width="11.7109375" style="1" customWidth="1"/>
    <col min="2066" max="2066" width="8.85546875" style="1" customWidth="1"/>
    <col min="2067" max="2067" width="12" style="1" customWidth="1"/>
    <col min="2068" max="2073" width="0" style="1" hidden="1" customWidth="1"/>
    <col min="2074" max="2074" width="9.42578125" style="1" customWidth="1"/>
    <col min="2075" max="2075" width="12.140625" style="1" customWidth="1"/>
    <col min="2076" max="2076" width="11.42578125" style="1" customWidth="1"/>
    <col min="2077" max="2077" width="11.28515625" style="1" bestFit="1" customWidth="1"/>
    <col min="2078" max="2078" width="10.85546875" style="1" customWidth="1"/>
    <col min="2079" max="2079" width="11.5703125" style="1" customWidth="1"/>
    <col min="2080" max="2080" width="0" style="1" hidden="1" customWidth="1"/>
    <col min="2081" max="2081" width="8" style="1" customWidth="1"/>
    <col min="2082" max="2082" width="7.28515625" style="1" customWidth="1"/>
    <col min="2083" max="2083" width="18.7109375" style="1" customWidth="1"/>
    <col min="2084" max="2084" width="14.140625" style="1" customWidth="1"/>
    <col min="2085" max="2085" width="11.7109375" style="1" bestFit="1" customWidth="1"/>
    <col min="2086" max="2086" width="10.140625" style="1" bestFit="1" customWidth="1"/>
    <col min="2087" max="2303" width="9" style="1"/>
    <col min="2304" max="2304" width="4.7109375" style="1" customWidth="1"/>
    <col min="2305" max="2305" width="8.140625" style="1" customWidth="1"/>
    <col min="2306" max="2306" width="16" style="1" customWidth="1"/>
    <col min="2307" max="2307" width="13.28515625" style="1" customWidth="1"/>
    <col min="2308" max="2308" width="87.7109375" style="1" customWidth="1"/>
    <col min="2309" max="2309" width="8.28515625" style="1" customWidth="1"/>
    <col min="2310" max="2310" width="0" style="1" hidden="1" customWidth="1"/>
    <col min="2311" max="2311" width="11.5703125" style="1" customWidth="1"/>
    <col min="2312" max="2312" width="11.42578125" style="1" customWidth="1"/>
    <col min="2313" max="2313" width="14.5703125" style="1" customWidth="1"/>
    <col min="2314" max="2314" width="13.5703125" style="1" customWidth="1"/>
    <col min="2315" max="2315" width="14.85546875" style="1" customWidth="1"/>
    <col min="2316" max="2316" width="0" style="1" hidden="1" customWidth="1"/>
    <col min="2317" max="2317" width="14.5703125" style="1" customWidth="1"/>
    <col min="2318" max="2318" width="12.140625" style="1" customWidth="1"/>
    <col min="2319" max="2319" width="13.85546875" style="1" customWidth="1"/>
    <col min="2320" max="2320" width="15.28515625" style="1" customWidth="1"/>
    <col min="2321" max="2321" width="11.7109375" style="1" customWidth="1"/>
    <col min="2322" max="2322" width="8.85546875" style="1" customWidth="1"/>
    <col min="2323" max="2323" width="12" style="1" customWidth="1"/>
    <col min="2324" max="2329" width="0" style="1" hidden="1" customWidth="1"/>
    <col min="2330" max="2330" width="9.42578125" style="1" customWidth="1"/>
    <col min="2331" max="2331" width="12.140625" style="1" customWidth="1"/>
    <col min="2332" max="2332" width="11.42578125" style="1" customWidth="1"/>
    <col min="2333" max="2333" width="11.28515625" style="1" bestFit="1" customWidth="1"/>
    <col min="2334" max="2334" width="10.85546875" style="1" customWidth="1"/>
    <col min="2335" max="2335" width="11.5703125" style="1" customWidth="1"/>
    <col min="2336" max="2336" width="0" style="1" hidden="1" customWidth="1"/>
    <col min="2337" max="2337" width="8" style="1" customWidth="1"/>
    <col min="2338" max="2338" width="7.28515625" style="1" customWidth="1"/>
    <col min="2339" max="2339" width="18.7109375" style="1" customWidth="1"/>
    <col min="2340" max="2340" width="14.140625" style="1" customWidth="1"/>
    <col min="2341" max="2341" width="11.7109375" style="1" bestFit="1" customWidth="1"/>
    <col min="2342" max="2342" width="10.140625" style="1" bestFit="1" customWidth="1"/>
    <col min="2343" max="2559" width="9" style="1"/>
    <col min="2560" max="2560" width="4.7109375" style="1" customWidth="1"/>
    <col min="2561" max="2561" width="8.140625" style="1" customWidth="1"/>
    <col min="2562" max="2562" width="16" style="1" customWidth="1"/>
    <col min="2563" max="2563" width="13.28515625" style="1" customWidth="1"/>
    <col min="2564" max="2564" width="87.7109375" style="1" customWidth="1"/>
    <col min="2565" max="2565" width="8.28515625" style="1" customWidth="1"/>
    <col min="2566" max="2566" width="0" style="1" hidden="1" customWidth="1"/>
    <col min="2567" max="2567" width="11.5703125" style="1" customWidth="1"/>
    <col min="2568" max="2568" width="11.42578125" style="1" customWidth="1"/>
    <col min="2569" max="2569" width="14.5703125" style="1" customWidth="1"/>
    <col min="2570" max="2570" width="13.5703125" style="1" customWidth="1"/>
    <col min="2571" max="2571" width="14.85546875" style="1" customWidth="1"/>
    <col min="2572" max="2572" width="0" style="1" hidden="1" customWidth="1"/>
    <col min="2573" max="2573" width="14.5703125" style="1" customWidth="1"/>
    <col min="2574" max="2574" width="12.140625" style="1" customWidth="1"/>
    <col min="2575" max="2575" width="13.85546875" style="1" customWidth="1"/>
    <col min="2576" max="2576" width="15.28515625" style="1" customWidth="1"/>
    <col min="2577" max="2577" width="11.7109375" style="1" customWidth="1"/>
    <col min="2578" max="2578" width="8.85546875" style="1" customWidth="1"/>
    <col min="2579" max="2579" width="12" style="1" customWidth="1"/>
    <col min="2580" max="2585" width="0" style="1" hidden="1" customWidth="1"/>
    <col min="2586" max="2586" width="9.42578125" style="1" customWidth="1"/>
    <col min="2587" max="2587" width="12.140625" style="1" customWidth="1"/>
    <col min="2588" max="2588" width="11.42578125" style="1" customWidth="1"/>
    <col min="2589" max="2589" width="11.28515625" style="1" bestFit="1" customWidth="1"/>
    <col min="2590" max="2590" width="10.85546875" style="1" customWidth="1"/>
    <col min="2591" max="2591" width="11.5703125" style="1" customWidth="1"/>
    <col min="2592" max="2592" width="0" style="1" hidden="1" customWidth="1"/>
    <col min="2593" max="2593" width="8" style="1" customWidth="1"/>
    <col min="2594" max="2594" width="7.28515625" style="1" customWidth="1"/>
    <col min="2595" max="2595" width="18.7109375" style="1" customWidth="1"/>
    <col min="2596" max="2596" width="14.140625" style="1" customWidth="1"/>
    <col min="2597" max="2597" width="11.7109375" style="1" bestFit="1" customWidth="1"/>
    <col min="2598" max="2598" width="10.140625" style="1" bestFit="1" customWidth="1"/>
    <col min="2599" max="2815" width="9" style="1"/>
    <col min="2816" max="2816" width="4.7109375" style="1" customWidth="1"/>
    <col min="2817" max="2817" width="8.140625" style="1" customWidth="1"/>
    <col min="2818" max="2818" width="16" style="1" customWidth="1"/>
    <col min="2819" max="2819" width="13.28515625" style="1" customWidth="1"/>
    <col min="2820" max="2820" width="87.7109375" style="1" customWidth="1"/>
    <col min="2821" max="2821" width="8.28515625" style="1" customWidth="1"/>
    <col min="2822" max="2822" width="0" style="1" hidden="1" customWidth="1"/>
    <col min="2823" max="2823" width="11.5703125" style="1" customWidth="1"/>
    <col min="2824" max="2824" width="11.42578125" style="1" customWidth="1"/>
    <col min="2825" max="2825" width="14.5703125" style="1" customWidth="1"/>
    <col min="2826" max="2826" width="13.5703125" style="1" customWidth="1"/>
    <col min="2827" max="2827" width="14.85546875" style="1" customWidth="1"/>
    <col min="2828" max="2828" width="0" style="1" hidden="1" customWidth="1"/>
    <col min="2829" max="2829" width="14.5703125" style="1" customWidth="1"/>
    <col min="2830" max="2830" width="12.140625" style="1" customWidth="1"/>
    <col min="2831" max="2831" width="13.85546875" style="1" customWidth="1"/>
    <col min="2832" max="2832" width="15.28515625" style="1" customWidth="1"/>
    <col min="2833" max="2833" width="11.7109375" style="1" customWidth="1"/>
    <col min="2834" max="2834" width="8.85546875" style="1" customWidth="1"/>
    <col min="2835" max="2835" width="12" style="1" customWidth="1"/>
    <col min="2836" max="2841" width="0" style="1" hidden="1" customWidth="1"/>
    <col min="2842" max="2842" width="9.42578125" style="1" customWidth="1"/>
    <col min="2843" max="2843" width="12.140625" style="1" customWidth="1"/>
    <col min="2844" max="2844" width="11.42578125" style="1" customWidth="1"/>
    <col min="2845" max="2845" width="11.28515625" style="1" bestFit="1" customWidth="1"/>
    <col min="2846" max="2846" width="10.85546875" style="1" customWidth="1"/>
    <col min="2847" max="2847" width="11.5703125" style="1" customWidth="1"/>
    <col min="2848" max="2848" width="0" style="1" hidden="1" customWidth="1"/>
    <col min="2849" max="2849" width="8" style="1" customWidth="1"/>
    <col min="2850" max="2850" width="7.28515625" style="1" customWidth="1"/>
    <col min="2851" max="2851" width="18.7109375" style="1" customWidth="1"/>
    <col min="2852" max="2852" width="14.140625" style="1" customWidth="1"/>
    <col min="2853" max="2853" width="11.7109375" style="1" bestFit="1" customWidth="1"/>
    <col min="2854" max="2854" width="10.140625" style="1" bestFit="1" customWidth="1"/>
    <col min="2855" max="3071" width="9" style="1"/>
    <col min="3072" max="3072" width="4.7109375" style="1" customWidth="1"/>
    <col min="3073" max="3073" width="8.140625" style="1" customWidth="1"/>
    <col min="3074" max="3074" width="16" style="1" customWidth="1"/>
    <col min="3075" max="3075" width="13.28515625" style="1" customWidth="1"/>
    <col min="3076" max="3076" width="87.7109375" style="1" customWidth="1"/>
    <col min="3077" max="3077" width="8.28515625" style="1" customWidth="1"/>
    <col min="3078" max="3078" width="0" style="1" hidden="1" customWidth="1"/>
    <col min="3079" max="3079" width="11.5703125" style="1" customWidth="1"/>
    <col min="3080" max="3080" width="11.42578125" style="1" customWidth="1"/>
    <col min="3081" max="3081" width="14.5703125" style="1" customWidth="1"/>
    <col min="3082" max="3082" width="13.5703125" style="1" customWidth="1"/>
    <col min="3083" max="3083" width="14.85546875" style="1" customWidth="1"/>
    <col min="3084" max="3084" width="0" style="1" hidden="1" customWidth="1"/>
    <col min="3085" max="3085" width="14.5703125" style="1" customWidth="1"/>
    <col min="3086" max="3086" width="12.140625" style="1" customWidth="1"/>
    <col min="3087" max="3087" width="13.85546875" style="1" customWidth="1"/>
    <col min="3088" max="3088" width="15.28515625" style="1" customWidth="1"/>
    <col min="3089" max="3089" width="11.7109375" style="1" customWidth="1"/>
    <col min="3090" max="3090" width="8.85546875" style="1" customWidth="1"/>
    <col min="3091" max="3091" width="12" style="1" customWidth="1"/>
    <col min="3092" max="3097" width="0" style="1" hidden="1" customWidth="1"/>
    <col min="3098" max="3098" width="9.42578125" style="1" customWidth="1"/>
    <col min="3099" max="3099" width="12.140625" style="1" customWidth="1"/>
    <col min="3100" max="3100" width="11.42578125" style="1" customWidth="1"/>
    <col min="3101" max="3101" width="11.28515625" style="1" bestFit="1" customWidth="1"/>
    <col min="3102" max="3102" width="10.85546875" style="1" customWidth="1"/>
    <col min="3103" max="3103" width="11.5703125" style="1" customWidth="1"/>
    <col min="3104" max="3104" width="0" style="1" hidden="1" customWidth="1"/>
    <col min="3105" max="3105" width="8" style="1" customWidth="1"/>
    <col min="3106" max="3106" width="7.28515625" style="1" customWidth="1"/>
    <col min="3107" max="3107" width="18.7109375" style="1" customWidth="1"/>
    <col min="3108" max="3108" width="14.140625" style="1" customWidth="1"/>
    <col min="3109" max="3109" width="11.7109375" style="1" bestFit="1" customWidth="1"/>
    <col min="3110" max="3110" width="10.140625" style="1" bestFit="1" customWidth="1"/>
    <col min="3111" max="3327" width="9" style="1"/>
    <col min="3328" max="3328" width="4.7109375" style="1" customWidth="1"/>
    <col min="3329" max="3329" width="8.140625" style="1" customWidth="1"/>
    <col min="3330" max="3330" width="16" style="1" customWidth="1"/>
    <col min="3331" max="3331" width="13.28515625" style="1" customWidth="1"/>
    <col min="3332" max="3332" width="87.7109375" style="1" customWidth="1"/>
    <col min="3333" max="3333" width="8.28515625" style="1" customWidth="1"/>
    <col min="3334" max="3334" width="0" style="1" hidden="1" customWidth="1"/>
    <col min="3335" max="3335" width="11.5703125" style="1" customWidth="1"/>
    <col min="3336" max="3336" width="11.42578125" style="1" customWidth="1"/>
    <col min="3337" max="3337" width="14.5703125" style="1" customWidth="1"/>
    <col min="3338" max="3338" width="13.5703125" style="1" customWidth="1"/>
    <col min="3339" max="3339" width="14.85546875" style="1" customWidth="1"/>
    <col min="3340" max="3340" width="0" style="1" hidden="1" customWidth="1"/>
    <col min="3341" max="3341" width="14.5703125" style="1" customWidth="1"/>
    <col min="3342" max="3342" width="12.140625" style="1" customWidth="1"/>
    <col min="3343" max="3343" width="13.85546875" style="1" customWidth="1"/>
    <col min="3344" max="3344" width="15.28515625" style="1" customWidth="1"/>
    <col min="3345" max="3345" width="11.7109375" style="1" customWidth="1"/>
    <col min="3346" max="3346" width="8.85546875" style="1" customWidth="1"/>
    <col min="3347" max="3347" width="12" style="1" customWidth="1"/>
    <col min="3348" max="3353" width="0" style="1" hidden="1" customWidth="1"/>
    <col min="3354" max="3354" width="9.42578125" style="1" customWidth="1"/>
    <col min="3355" max="3355" width="12.140625" style="1" customWidth="1"/>
    <col min="3356" max="3356" width="11.42578125" style="1" customWidth="1"/>
    <col min="3357" max="3357" width="11.28515625" style="1" bestFit="1" customWidth="1"/>
    <col min="3358" max="3358" width="10.85546875" style="1" customWidth="1"/>
    <col min="3359" max="3359" width="11.5703125" style="1" customWidth="1"/>
    <col min="3360" max="3360" width="0" style="1" hidden="1" customWidth="1"/>
    <col min="3361" max="3361" width="8" style="1" customWidth="1"/>
    <col min="3362" max="3362" width="7.28515625" style="1" customWidth="1"/>
    <col min="3363" max="3363" width="18.7109375" style="1" customWidth="1"/>
    <col min="3364" max="3364" width="14.140625" style="1" customWidth="1"/>
    <col min="3365" max="3365" width="11.7109375" style="1" bestFit="1" customWidth="1"/>
    <col min="3366" max="3366" width="10.140625" style="1" bestFit="1" customWidth="1"/>
    <col min="3367" max="3583" width="9" style="1"/>
    <col min="3584" max="3584" width="4.7109375" style="1" customWidth="1"/>
    <col min="3585" max="3585" width="8.140625" style="1" customWidth="1"/>
    <col min="3586" max="3586" width="16" style="1" customWidth="1"/>
    <col min="3587" max="3587" width="13.28515625" style="1" customWidth="1"/>
    <col min="3588" max="3588" width="87.7109375" style="1" customWidth="1"/>
    <col min="3589" max="3589" width="8.28515625" style="1" customWidth="1"/>
    <col min="3590" max="3590" width="0" style="1" hidden="1" customWidth="1"/>
    <col min="3591" max="3591" width="11.5703125" style="1" customWidth="1"/>
    <col min="3592" max="3592" width="11.42578125" style="1" customWidth="1"/>
    <col min="3593" max="3593" width="14.5703125" style="1" customWidth="1"/>
    <col min="3594" max="3594" width="13.5703125" style="1" customWidth="1"/>
    <col min="3595" max="3595" width="14.85546875" style="1" customWidth="1"/>
    <col min="3596" max="3596" width="0" style="1" hidden="1" customWidth="1"/>
    <col min="3597" max="3597" width="14.5703125" style="1" customWidth="1"/>
    <col min="3598" max="3598" width="12.140625" style="1" customWidth="1"/>
    <col min="3599" max="3599" width="13.85546875" style="1" customWidth="1"/>
    <col min="3600" max="3600" width="15.28515625" style="1" customWidth="1"/>
    <col min="3601" max="3601" width="11.7109375" style="1" customWidth="1"/>
    <col min="3602" max="3602" width="8.85546875" style="1" customWidth="1"/>
    <col min="3603" max="3603" width="12" style="1" customWidth="1"/>
    <col min="3604" max="3609" width="0" style="1" hidden="1" customWidth="1"/>
    <col min="3610" max="3610" width="9.42578125" style="1" customWidth="1"/>
    <col min="3611" max="3611" width="12.140625" style="1" customWidth="1"/>
    <col min="3612" max="3612" width="11.42578125" style="1" customWidth="1"/>
    <col min="3613" max="3613" width="11.28515625" style="1" bestFit="1" customWidth="1"/>
    <col min="3614" max="3614" width="10.85546875" style="1" customWidth="1"/>
    <col min="3615" max="3615" width="11.5703125" style="1" customWidth="1"/>
    <col min="3616" max="3616" width="0" style="1" hidden="1" customWidth="1"/>
    <col min="3617" max="3617" width="8" style="1" customWidth="1"/>
    <col min="3618" max="3618" width="7.28515625" style="1" customWidth="1"/>
    <col min="3619" max="3619" width="18.7109375" style="1" customWidth="1"/>
    <col min="3620" max="3620" width="14.140625" style="1" customWidth="1"/>
    <col min="3621" max="3621" width="11.7109375" style="1" bestFit="1" customWidth="1"/>
    <col min="3622" max="3622" width="10.140625" style="1" bestFit="1" customWidth="1"/>
    <col min="3623" max="3839" width="9" style="1"/>
    <col min="3840" max="3840" width="4.7109375" style="1" customWidth="1"/>
    <col min="3841" max="3841" width="8.140625" style="1" customWidth="1"/>
    <col min="3842" max="3842" width="16" style="1" customWidth="1"/>
    <col min="3843" max="3843" width="13.28515625" style="1" customWidth="1"/>
    <col min="3844" max="3844" width="87.7109375" style="1" customWidth="1"/>
    <col min="3845" max="3845" width="8.28515625" style="1" customWidth="1"/>
    <col min="3846" max="3846" width="0" style="1" hidden="1" customWidth="1"/>
    <col min="3847" max="3847" width="11.5703125" style="1" customWidth="1"/>
    <col min="3848" max="3848" width="11.42578125" style="1" customWidth="1"/>
    <col min="3849" max="3849" width="14.5703125" style="1" customWidth="1"/>
    <col min="3850" max="3850" width="13.5703125" style="1" customWidth="1"/>
    <col min="3851" max="3851" width="14.85546875" style="1" customWidth="1"/>
    <col min="3852" max="3852" width="0" style="1" hidden="1" customWidth="1"/>
    <col min="3853" max="3853" width="14.5703125" style="1" customWidth="1"/>
    <col min="3854" max="3854" width="12.140625" style="1" customWidth="1"/>
    <col min="3855" max="3855" width="13.85546875" style="1" customWidth="1"/>
    <col min="3856" max="3856" width="15.28515625" style="1" customWidth="1"/>
    <col min="3857" max="3857" width="11.7109375" style="1" customWidth="1"/>
    <col min="3858" max="3858" width="8.85546875" style="1" customWidth="1"/>
    <col min="3859" max="3859" width="12" style="1" customWidth="1"/>
    <col min="3860" max="3865" width="0" style="1" hidden="1" customWidth="1"/>
    <col min="3866" max="3866" width="9.42578125" style="1" customWidth="1"/>
    <col min="3867" max="3867" width="12.140625" style="1" customWidth="1"/>
    <col min="3868" max="3868" width="11.42578125" style="1" customWidth="1"/>
    <col min="3869" max="3869" width="11.28515625" style="1" bestFit="1" customWidth="1"/>
    <col min="3870" max="3870" width="10.85546875" style="1" customWidth="1"/>
    <col min="3871" max="3871" width="11.5703125" style="1" customWidth="1"/>
    <col min="3872" max="3872" width="0" style="1" hidden="1" customWidth="1"/>
    <col min="3873" max="3873" width="8" style="1" customWidth="1"/>
    <col min="3874" max="3874" width="7.28515625" style="1" customWidth="1"/>
    <col min="3875" max="3875" width="18.7109375" style="1" customWidth="1"/>
    <col min="3876" max="3876" width="14.140625" style="1" customWidth="1"/>
    <col min="3877" max="3877" width="11.7109375" style="1" bestFit="1" customWidth="1"/>
    <col min="3878" max="3878" width="10.140625" style="1" bestFit="1" customWidth="1"/>
    <col min="3879" max="4095" width="9" style="1"/>
    <col min="4096" max="4096" width="4.7109375" style="1" customWidth="1"/>
    <col min="4097" max="4097" width="8.140625" style="1" customWidth="1"/>
    <col min="4098" max="4098" width="16" style="1" customWidth="1"/>
    <col min="4099" max="4099" width="13.28515625" style="1" customWidth="1"/>
    <col min="4100" max="4100" width="87.7109375" style="1" customWidth="1"/>
    <col min="4101" max="4101" width="8.28515625" style="1" customWidth="1"/>
    <col min="4102" max="4102" width="0" style="1" hidden="1" customWidth="1"/>
    <col min="4103" max="4103" width="11.5703125" style="1" customWidth="1"/>
    <col min="4104" max="4104" width="11.42578125" style="1" customWidth="1"/>
    <col min="4105" max="4105" width="14.5703125" style="1" customWidth="1"/>
    <col min="4106" max="4106" width="13.5703125" style="1" customWidth="1"/>
    <col min="4107" max="4107" width="14.85546875" style="1" customWidth="1"/>
    <col min="4108" max="4108" width="0" style="1" hidden="1" customWidth="1"/>
    <col min="4109" max="4109" width="14.5703125" style="1" customWidth="1"/>
    <col min="4110" max="4110" width="12.140625" style="1" customWidth="1"/>
    <col min="4111" max="4111" width="13.85546875" style="1" customWidth="1"/>
    <col min="4112" max="4112" width="15.28515625" style="1" customWidth="1"/>
    <col min="4113" max="4113" width="11.7109375" style="1" customWidth="1"/>
    <col min="4114" max="4114" width="8.85546875" style="1" customWidth="1"/>
    <col min="4115" max="4115" width="12" style="1" customWidth="1"/>
    <col min="4116" max="4121" width="0" style="1" hidden="1" customWidth="1"/>
    <col min="4122" max="4122" width="9.42578125" style="1" customWidth="1"/>
    <col min="4123" max="4123" width="12.140625" style="1" customWidth="1"/>
    <col min="4124" max="4124" width="11.42578125" style="1" customWidth="1"/>
    <col min="4125" max="4125" width="11.28515625" style="1" bestFit="1" customWidth="1"/>
    <col min="4126" max="4126" width="10.85546875" style="1" customWidth="1"/>
    <col min="4127" max="4127" width="11.5703125" style="1" customWidth="1"/>
    <col min="4128" max="4128" width="0" style="1" hidden="1" customWidth="1"/>
    <col min="4129" max="4129" width="8" style="1" customWidth="1"/>
    <col min="4130" max="4130" width="7.28515625" style="1" customWidth="1"/>
    <col min="4131" max="4131" width="18.7109375" style="1" customWidth="1"/>
    <col min="4132" max="4132" width="14.140625" style="1" customWidth="1"/>
    <col min="4133" max="4133" width="11.7109375" style="1" bestFit="1" customWidth="1"/>
    <col min="4134" max="4134" width="10.140625" style="1" bestFit="1" customWidth="1"/>
    <col min="4135" max="4351" width="9" style="1"/>
    <col min="4352" max="4352" width="4.7109375" style="1" customWidth="1"/>
    <col min="4353" max="4353" width="8.140625" style="1" customWidth="1"/>
    <col min="4354" max="4354" width="16" style="1" customWidth="1"/>
    <col min="4355" max="4355" width="13.28515625" style="1" customWidth="1"/>
    <col min="4356" max="4356" width="87.7109375" style="1" customWidth="1"/>
    <col min="4357" max="4357" width="8.28515625" style="1" customWidth="1"/>
    <col min="4358" max="4358" width="0" style="1" hidden="1" customWidth="1"/>
    <col min="4359" max="4359" width="11.5703125" style="1" customWidth="1"/>
    <col min="4360" max="4360" width="11.42578125" style="1" customWidth="1"/>
    <col min="4361" max="4361" width="14.5703125" style="1" customWidth="1"/>
    <col min="4362" max="4362" width="13.5703125" style="1" customWidth="1"/>
    <col min="4363" max="4363" width="14.85546875" style="1" customWidth="1"/>
    <col min="4364" max="4364" width="0" style="1" hidden="1" customWidth="1"/>
    <col min="4365" max="4365" width="14.5703125" style="1" customWidth="1"/>
    <col min="4366" max="4366" width="12.140625" style="1" customWidth="1"/>
    <col min="4367" max="4367" width="13.85546875" style="1" customWidth="1"/>
    <col min="4368" max="4368" width="15.28515625" style="1" customWidth="1"/>
    <col min="4369" max="4369" width="11.7109375" style="1" customWidth="1"/>
    <col min="4370" max="4370" width="8.85546875" style="1" customWidth="1"/>
    <col min="4371" max="4371" width="12" style="1" customWidth="1"/>
    <col min="4372" max="4377" width="0" style="1" hidden="1" customWidth="1"/>
    <col min="4378" max="4378" width="9.42578125" style="1" customWidth="1"/>
    <col min="4379" max="4379" width="12.140625" style="1" customWidth="1"/>
    <col min="4380" max="4380" width="11.42578125" style="1" customWidth="1"/>
    <col min="4381" max="4381" width="11.28515625" style="1" bestFit="1" customWidth="1"/>
    <col min="4382" max="4382" width="10.85546875" style="1" customWidth="1"/>
    <col min="4383" max="4383" width="11.5703125" style="1" customWidth="1"/>
    <col min="4384" max="4384" width="0" style="1" hidden="1" customWidth="1"/>
    <col min="4385" max="4385" width="8" style="1" customWidth="1"/>
    <col min="4386" max="4386" width="7.28515625" style="1" customWidth="1"/>
    <col min="4387" max="4387" width="18.7109375" style="1" customWidth="1"/>
    <col min="4388" max="4388" width="14.140625" style="1" customWidth="1"/>
    <col min="4389" max="4389" width="11.7109375" style="1" bestFit="1" customWidth="1"/>
    <col min="4390" max="4390" width="10.140625" style="1" bestFit="1" customWidth="1"/>
    <col min="4391" max="4607" width="9" style="1"/>
    <col min="4608" max="4608" width="4.7109375" style="1" customWidth="1"/>
    <col min="4609" max="4609" width="8.140625" style="1" customWidth="1"/>
    <col min="4610" max="4610" width="16" style="1" customWidth="1"/>
    <col min="4611" max="4611" width="13.28515625" style="1" customWidth="1"/>
    <col min="4612" max="4612" width="87.7109375" style="1" customWidth="1"/>
    <col min="4613" max="4613" width="8.28515625" style="1" customWidth="1"/>
    <col min="4614" max="4614" width="0" style="1" hidden="1" customWidth="1"/>
    <col min="4615" max="4615" width="11.5703125" style="1" customWidth="1"/>
    <col min="4616" max="4616" width="11.42578125" style="1" customWidth="1"/>
    <col min="4617" max="4617" width="14.5703125" style="1" customWidth="1"/>
    <col min="4618" max="4618" width="13.5703125" style="1" customWidth="1"/>
    <col min="4619" max="4619" width="14.85546875" style="1" customWidth="1"/>
    <col min="4620" max="4620" width="0" style="1" hidden="1" customWidth="1"/>
    <col min="4621" max="4621" width="14.5703125" style="1" customWidth="1"/>
    <col min="4622" max="4622" width="12.140625" style="1" customWidth="1"/>
    <col min="4623" max="4623" width="13.85546875" style="1" customWidth="1"/>
    <col min="4624" max="4624" width="15.28515625" style="1" customWidth="1"/>
    <col min="4625" max="4625" width="11.7109375" style="1" customWidth="1"/>
    <col min="4626" max="4626" width="8.85546875" style="1" customWidth="1"/>
    <col min="4627" max="4627" width="12" style="1" customWidth="1"/>
    <col min="4628" max="4633" width="0" style="1" hidden="1" customWidth="1"/>
    <col min="4634" max="4634" width="9.42578125" style="1" customWidth="1"/>
    <col min="4635" max="4635" width="12.140625" style="1" customWidth="1"/>
    <col min="4636" max="4636" width="11.42578125" style="1" customWidth="1"/>
    <col min="4637" max="4637" width="11.28515625" style="1" bestFit="1" customWidth="1"/>
    <col min="4638" max="4638" width="10.85546875" style="1" customWidth="1"/>
    <col min="4639" max="4639" width="11.5703125" style="1" customWidth="1"/>
    <col min="4640" max="4640" width="0" style="1" hidden="1" customWidth="1"/>
    <col min="4641" max="4641" width="8" style="1" customWidth="1"/>
    <col min="4642" max="4642" width="7.28515625" style="1" customWidth="1"/>
    <col min="4643" max="4643" width="18.7109375" style="1" customWidth="1"/>
    <col min="4644" max="4644" width="14.140625" style="1" customWidth="1"/>
    <col min="4645" max="4645" width="11.7109375" style="1" bestFit="1" customWidth="1"/>
    <col min="4646" max="4646" width="10.140625" style="1" bestFit="1" customWidth="1"/>
    <col min="4647" max="4863" width="9" style="1"/>
    <col min="4864" max="4864" width="4.7109375" style="1" customWidth="1"/>
    <col min="4865" max="4865" width="8.140625" style="1" customWidth="1"/>
    <col min="4866" max="4866" width="16" style="1" customWidth="1"/>
    <col min="4867" max="4867" width="13.28515625" style="1" customWidth="1"/>
    <col min="4868" max="4868" width="87.7109375" style="1" customWidth="1"/>
    <col min="4869" max="4869" width="8.28515625" style="1" customWidth="1"/>
    <col min="4870" max="4870" width="0" style="1" hidden="1" customWidth="1"/>
    <col min="4871" max="4871" width="11.5703125" style="1" customWidth="1"/>
    <col min="4872" max="4872" width="11.42578125" style="1" customWidth="1"/>
    <col min="4873" max="4873" width="14.5703125" style="1" customWidth="1"/>
    <col min="4874" max="4874" width="13.5703125" style="1" customWidth="1"/>
    <col min="4875" max="4875" width="14.85546875" style="1" customWidth="1"/>
    <col min="4876" max="4876" width="0" style="1" hidden="1" customWidth="1"/>
    <col min="4877" max="4877" width="14.5703125" style="1" customWidth="1"/>
    <col min="4878" max="4878" width="12.140625" style="1" customWidth="1"/>
    <col min="4879" max="4879" width="13.85546875" style="1" customWidth="1"/>
    <col min="4880" max="4880" width="15.28515625" style="1" customWidth="1"/>
    <col min="4881" max="4881" width="11.7109375" style="1" customWidth="1"/>
    <col min="4882" max="4882" width="8.85546875" style="1" customWidth="1"/>
    <col min="4883" max="4883" width="12" style="1" customWidth="1"/>
    <col min="4884" max="4889" width="0" style="1" hidden="1" customWidth="1"/>
    <col min="4890" max="4890" width="9.42578125" style="1" customWidth="1"/>
    <col min="4891" max="4891" width="12.140625" style="1" customWidth="1"/>
    <col min="4892" max="4892" width="11.42578125" style="1" customWidth="1"/>
    <col min="4893" max="4893" width="11.28515625" style="1" bestFit="1" customWidth="1"/>
    <col min="4894" max="4894" width="10.85546875" style="1" customWidth="1"/>
    <col min="4895" max="4895" width="11.5703125" style="1" customWidth="1"/>
    <col min="4896" max="4896" width="0" style="1" hidden="1" customWidth="1"/>
    <col min="4897" max="4897" width="8" style="1" customWidth="1"/>
    <col min="4898" max="4898" width="7.28515625" style="1" customWidth="1"/>
    <col min="4899" max="4899" width="18.7109375" style="1" customWidth="1"/>
    <col min="4900" max="4900" width="14.140625" style="1" customWidth="1"/>
    <col min="4901" max="4901" width="11.7109375" style="1" bestFit="1" customWidth="1"/>
    <col min="4902" max="4902" width="10.140625" style="1" bestFit="1" customWidth="1"/>
    <col min="4903" max="5119" width="9" style="1"/>
    <col min="5120" max="5120" width="4.7109375" style="1" customWidth="1"/>
    <col min="5121" max="5121" width="8.140625" style="1" customWidth="1"/>
    <col min="5122" max="5122" width="16" style="1" customWidth="1"/>
    <col min="5123" max="5123" width="13.28515625" style="1" customWidth="1"/>
    <col min="5124" max="5124" width="87.7109375" style="1" customWidth="1"/>
    <col min="5125" max="5125" width="8.28515625" style="1" customWidth="1"/>
    <col min="5126" max="5126" width="0" style="1" hidden="1" customWidth="1"/>
    <col min="5127" max="5127" width="11.5703125" style="1" customWidth="1"/>
    <col min="5128" max="5128" width="11.42578125" style="1" customWidth="1"/>
    <col min="5129" max="5129" width="14.5703125" style="1" customWidth="1"/>
    <col min="5130" max="5130" width="13.5703125" style="1" customWidth="1"/>
    <col min="5131" max="5131" width="14.85546875" style="1" customWidth="1"/>
    <col min="5132" max="5132" width="0" style="1" hidden="1" customWidth="1"/>
    <col min="5133" max="5133" width="14.5703125" style="1" customWidth="1"/>
    <col min="5134" max="5134" width="12.140625" style="1" customWidth="1"/>
    <col min="5135" max="5135" width="13.85546875" style="1" customWidth="1"/>
    <col min="5136" max="5136" width="15.28515625" style="1" customWidth="1"/>
    <col min="5137" max="5137" width="11.7109375" style="1" customWidth="1"/>
    <col min="5138" max="5138" width="8.85546875" style="1" customWidth="1"/>
    <col min="5139" max="5139" width="12" style="1" customWidth="1"/>
    <col min="5140" max="5145" width="0" style="1" hidden="1" customWidth="1"/>
    <col min="5146" max="5146" width="9.42578125" style="1" customWidth="1"/>
    <col min="5147" max="5147" width="12.140625" style="1" customWidth="1"/>
    <col min="5148" max="5148" width="11.42578125" style="1" customWidth="1"/>
    <col min="5149" max="5149" width="11.28515625" style="1" bestFit="1" customWidth="1"/>
    <col min="5150" max="5150" width="10.85546875" style="1" customWidth="1"/>
    <col min="5151" max="5151" width="11.5703125" style="1" customWidth="1"/>
    <col min="5152" max="5152" width="0" style="1" hidden="1" customWidth="1"/>
    <col min="5153" max="5153" width="8" style="1" customWidth="1"/>
    <col min="5154" max="5154" width="7.28515625" style="1" customWidth="1"/>
    <col min="5155" max="5155" width="18.7109375" style="1" customWidth="1"/>
    <col min="5156" max="5156" width="14.140625" style="1" customWidth="1"/>
    <col min="5157" max="5157" width="11.7109375" style="1" bestFit="1" customWidth="1"/>
    <col min="5158" max="5158" width="10.140625" style="1" bestFit="1" customWidth="1"/>
    <col min="5159" max="5375" width="9" style="1"/>
    <col min="5376" max="5376" width="4.7109375" style="1" customWidth="1"/>
    <col min="5377" max="5377" width="8.140625" style="1" customWidth="1"/>
    <col min="5378" max="5378" width="16" style="1" customWidth="1"/>
    <col min="5379" max="5379" width="13.28515625" style="1" customWidth="1"/>
    <col min="5380" max="5380" width="87.7109375" style="1" customWidth="1"/>
    <col min="5381" max="5381" width="8.28515625" style="1" customWidth="1"/>
    <col min="5382" max="5382" width="0" style="1" hidden="1" customWidth="1"/>
    <col min="5383" max="5383" width="11.5703125" style="1" customWidth="1"/>
    <col min="5384" max="5384" width="11.42578125" style="1" customWidth="1"/>
    <col min="5385" max="5385" width="14.5703125" style="1" customWidth="1"/>
    <col min="5386" max="5386" width="13.5703125" style="1" customWidth="1"/>
    <col min="5387" max="5387" width="14.85546875" style="1" customWidth="1"/>
    <col min="5388" max="5388" width="0" style="1" hidden="1" customWidth="1"/>
    <col min="5389" max="5389" width="14.5703125" style="1" customWidth="1"/>
    <col min="5390" max="5390" width="12.140625" style="1" customWidth="1"/>
    <col min="5391" max="5391" width="13.85546875" style="1" customWidth="1"/>
    <col min="5392" max="5392" width="15.28515625" style="1" customWidth="1"/>
    <col min="5393" max="5393" width="11.7109375" style="1" customWidth="1"/>
    <col min="5394" max="5394" width="8.85546875" style="1" customWidth="1"/>
    <col min="5395" max="5395" width="12" style="1" customWidth="1"/>
    <col min="5396" max="5401" width="0" style="1" hidden="1" customWidth="1"/>
    <col min="5402" max="5402" width="9.42578125" style="1" customWidth="1"/>
    <col min="5403" max="5403" width="12.140625" style="1" customWidth="1"/>
    <col min="5404" max="5404" width="11.42578125" style="1" customWidth="1"/>
    <col min="5405" max="5405" width="11.28515625" style="1" bestFit="1" customWidth="1"/>
    <col min="5406" max="5406" width="10.85546875" style="1" customWidth="1"/>
    <col min="5407" max="5407" width="11.5703125" style="1" customWidth="1"/>
    <col min="5408" max="5408" width="0" style="1" hidden="1" customWidth="1"/>
    <col min="5409" max="5409" width="8" style="1" customWidth="1"/>
    <col min="5410" max="5410" width="7.28515625" style="1" customWidth="1"/>
    <col min="5411" max="5411" width="18.7109375" style="1" customWidth="1"/>
    <col min="5412" max="5412" width="14.140625" style="1" customWidth="1"/>
    <col min="5413" max="5413" width="11.7109375" style="1" bestFit="1" customWidth="1"/>
    <col min="5414" max="5414" width="10.140625" style="1" bestFit="1" customWidth="1"/>
    <col min="5415" max="5631" width="9" style="1"/>
    <col min="5632" max="5632" width="4.7109375" style="1" customWidth="1"/>
    <col min="5633" max="5633" width="8.140625" style="1" customWidth="1"/>
    <col min="5634" max="5634" width="16" style="1" customWidth="1"/>
    <col min="5635" max="5635" width="13.28515625" style="1" customWidth="1"/>
    <col min="5636" max="5636" width="87.7109375" style="1" customWidth="1"/>
    <col min="5637" max="5637" width="8.28515625" style="1" customWidth="1"/>
    <col min="5638" max="5638" width="0" style="1" hidden="1" customWidth="1"/>
    <col min="5639" max="5639" width="11.5703125" style="1" customWidth="1"/>
    <col min="5640" max="5640" width="11.42578125" style="1" customWidth="1"/>
    <col min="5641" max="5641" width="14.5703125" style="1" customWidth="1"/>
    <col min="5642" max="5642" width="13.5703125" style="1" customWidth="1"/>
    <col min="5643" max="5643" width="14.85546875" style="1" customWidth="1"/>
    <col min="5644" max="5644" width="0" style="1" hidden="1" customWidth="1"/>
    <col min="5645" max="5645" width="14.5703125" style="1" customWidth="1"/>
    <col min="5646" max="5646" width="12.140625" style="1" customWidth="1"/>
    <col min="5647" max="5647" width="13.85546875" style="1" customWidth="1"/>
    <col min="5648" max="5648" width="15.28515625" style="1" customWidth="1"/>
    <col min="5649" max="5649" width="11.7109375" style="1" customWidth="1"/>
    <col min="5650" max="5650" width="8.85546875" style="1" customWidth="1"/>
    <col min="5651" max="5651" width="12" style="1" customWidth="1"/>
    <col min="5652" max="5657" width="0" style="1" hidden="1" customWidth="1"/>
    <col min="5658" max="5658" width="9.42578125" style="1" customWidth="1"/>
    <col min="5659" max="5659" width="12.140625" style="1" customWidth="1"/>
    <col min="5660" max="5660" width="11.42578125" style="1" customWidth="1"/>
    <col min="5661" max="5661" width="11.28515625" style="1" bestFit="1" customWidth="1"/>
    <col min="5662" max="5662" width="10.85546875" style="1" customWidth="1"/>
    <col min="5663" max="5663" width="11.5703125" style="1" customWidth="1"/>
    <col min="5664" max="5664" width="0" style="1" hidden="1" customWidth="1"/>
    <col min="5665" max="5665" width="8" style="1" customWidth="1"/>
    <col min="5666" max="5666" width="7.28515625" style="1" customWidth="1"/>
    <col min="5667" max="5667" width="18.7109375" style="1" customWidth="1"/>
    <col min="5668" max="5668" width="14.140625" style="1" customWidth="1"/>
    <col min="5669" max="5669" width="11.7109375" style="1" bestFit="1" customWidth="1"/>
    <col min="5670" max="5670" width="10.140625" style="1" bestFit="1" customWidth="1"/>
    <col min="5671" max="5887" width="9" style="1"/>
    <col min="5888" max="5888" width="4.7109375" style="1" customWidth="1"/>
    <col min="5889" max="5889" width="8.140625" style="1" customWidth="1"/>
    <col min="5890" max="5890" width="16" style="1" customWidth="1"/>
    <col min="5891" max="5891" width="13.28515625" style="1" customWidth="1"/>
    <col min="5892" max="5892" width="87.7109375" style="1" customWidth="1"/>
    <col min="5893" max="5893" width="8.28515625" style="1" customWidth="1"/>
    <col min="5894" max="5894" width="0" style="1" hidden="1" customWidth="1"/>
    <col min="5895" max="5895" width="11.5703125" style="1" customWidth="1"/>
    <col min="5896" max="5896" width="11.42578125" style="1" customWidth="1"/>
    <col min="5897" max="5897" width="14.5703125" style="1" customWidth="1"/>
    <col min="5898" max="5898" width="13.5703125" style="1" customWidth="1"/>
    <col min="5899" max="5899" width="14.85546875" style="1" customWidth="1"/>
    <col min="5900" max="5900" width="0" style="1" hidden="1" customWidth="1"/>
    <col min="5901" max="5901" width="14.5703125" style="1" customWidth="1"/>
    <col min="5902" max="5902" width="12.140625" style="1" customWidth="1"/>
    <col min="5903" max="5903" width="13.85546875" style="1" customWidth="1"/>
    <col min="5904" max="5904" width="15.28515625" style="1" customWidth="1"/>
    <col min="5905" max="5905" width="11.7109375" style="1" customWidth="1"/>
    <col min="5906" max="5906" width="8.85546875" style="1" customWidth="1"/>
    <col min="5907" max="5907" width="12" style="1" customWidth="1"/>
    <col min="5908" max="5913" width="0" style="1" hidden="1" customWidth="1"/>
    <col min="5914" max="5914" width="9.42578125" style="1" customWidth="1"/>
    <col min="5915" max="5915" width="12.140625" style="1" customWidth="1"/>
    <col min="5916" max="5916" width="11.42578125" style="1" customWidth="1"/>
    <col min="5917" max="5917" width="11.28515625" style="1" bestFit="1" customWidth="1"/>
    <col min="5918" max="5918" width="10.85546875" style="1" customWidth="1"/>
    <col min="5919" max="5919" width="11.5703125" style="1" customWidth="1"/>
    <col min="5920" max="5920" width="0" style="1" hidden="1" customWidth="1"/>
    <col min="5921" max="5921" width="8" style="1" customWidth="1"/>
    <col min="5922" max="5922" width="7.28515625" style="1" customWidth="1"/>
    <col min="5923" max="5923" width="18.7109375" style="1" customWidth="1"/>
    <col min="5924" max="5924" width="14.140625" style="1" customWidth="1"/>
    <col min="5925" max="5925" width="11.7109375" style="1" bestFit="1" customWidth="1"/>
    <col min="5926" max="5926" width="10.140625" style="1" bestFit="1" customWidth="1"/>
    <col min="5927" max="6143" width="9" style="1"/>
    <col min="6144" max="6144" width="4.7109375" style="1" customWidth="1"/>
    <col min="6145" max="6145" width="8.140625" style="1" customWidth="1"/>
    <col min="6146" max="6146" width="16" style="1" customWidth="1"/>
    <col min="6147" max="6147" width="13.28515625" style="1" customWidth="1"/>
    <col min="6148" max="6148" width="87.7109375" style="1" customWidth="1"/>
    <col min="6149" max="6149" width="8.28515625" style="1" customWidth="1"/>
    <col min="6150" max="6150" width="0" style="1" hidden="1" customWidth="1"/>
    <col min="6151" max="6151" width="11.5703125" style="1" customWidth="1"/>
    <col min="6152" max="6152" width="11.42578125" style="1" customWidth="1"/>
    <col min="6153" max="6153" width="14.5703125" style="1" customWidth="1"/>
    <col min="6154" max="6154" width="13.5703125" style="1" customWidth="1"/>
    <col min="6155" max="6155" width="14.85546875" style="1" customWidth="1"/>
    <col min="6156" max="6156" width="0" style="1" hidden="1" customWidth="1"/>
    <col min="6157" max="6157" width="14.5703125" style="1" customWidth="1"/>
    <col min="6158" max="6158" width="12.140625" style="1" customWidth="1"/>
    <col min="6159" max="6159" width="13.85546875" style="1" customWidth="1"/>
    <col min="6160" max="6160" width="15.28515625" style="1" customWidth="1"/>
    <col min="6161" max="6161" width="11.7109375" style="1" customWidth="1"/>
    <col min="6162" max="6162" width="8.85546875" style="1" customWidth="1"/>
    <col min="6163" max="6163" width="12" style="1" customWidth="1"/>
    <col min="6164" max="6169" width="0" style="1" hidden="1" customWidth="1"/>
    <col min="6170" max="6170" width="9.42578125" style="1" customWidth="1"/>
    <col min="6171" max="6171" width="12.140625" style="1" customWidth="1"/>
    <col min="6172" max="6172" width="11.42578125" style="1" customWidth="1"/>
    <col min="6173" max="6173" width="11.28515625" style="1" bestFit="1" customWidth="1"/>
    <col min="6174" max="6174" width="10.85546875" style="1" customWidth="1"/>
    <col min="6175" max="6175" width="11.5703125" style="1" customWidth="1"/>
    <col min="6176" max="6176" width="0" style="1" hidden="1" customWidth="1"/>
    <col min="6177" max="6177" width="8" style="1" customWidth="1"/>
    <col min="6178" max="6178" width="7.28515625" style="1" customWidth="1"/>
    <col min="6179" max="6179" width="18.7109375" style="1" customWidth="1"/>
    <col min="6180" max="6180" width="14.140625" style="1" customWidth="1"/>
    <col min="6181" max="6181" width="11.7109375" style="1" bestFit="1" customWidth="1"/>
    <col min="6182" max="6182" width="10.140625" style="1" bestFit="1" customWidth="1"/>
    <col min="6183" max="6399" width="9" style="1"/>
    <col min="6400" max="6400" width="4.7109375" style="1" customWidth="1"/>
    <col min="6401" max="6401" width="8.140625" style="1" customWidth="1"/>
    <col min="6402" max="6402" width="16" style="1" customWidth="1"/>
    <col min="6403" max="6403" width="13.28515625" style="1" customWidth="1"/>
    <col min="6404" max="6404" width="87.7109375" style="1" customWidth="1"/>
    <col min="6405" max="6405" width="8.28515625" style="1" customWidth="1"/>
    <col min="6406" max="6406" width="0" style="1" hidden="1" customWidth="1"/>
    <col min="6407" max="6407" width="11.5703125" style="1" customWidth="1"/>
    <col min="6408" max="6408" width="11.42578125" style="1" customWidth="1"/>
    <col min="6409" max="6409" width="14.5703125" style="1" customWidth="1"/>
    <col min="6410" max="6410" width="13.5703125" style="1" customWidth="1"/>
    <col min="6411" max="6411" width="14.85546875" style="1" customWidth="1"/>
    <col min="6412" max="6412" width="0" style="1" hidden="1" customWidth="1"/>
    <col min="6413" max="6413" width="14.5703125" style="1" customWidth="1"/>
    <col min="6414" max="6414" width="12.140625" style="1" customWidth="1"/>
    <col min="6415" max="6415" width="13.85546875" style="1" customWidth="1"/>
    <col min="6416" max="6416" width="15.28515625" style="1" customWidth="1"/>
    <col min="6417" max="6417" width="11.7109375" style="1" customWidth="1"/>
    <col min="6418" max="6418" width="8.85546875" style="1" customWidth="1"/>
    <col min="6419" max="6419" width="12" style="1" customWidth="1"/>
    <col min="6420" max="6425" width="0" style="1" hidden="1" customWidth="1"/>
    <col min="6426" max="6426" width="9.42578125" style="1" customWidth="1"/>
    <col min="6427" max="6427" width="12.140625" style="1" customWidth="1"/>
    <col min="6428" max="6428" width="11.42578125" style="1" customWidth="1"/>
    <col min="6429" max="6429" width="11.28515625" style="1" bestFit="1" customWidth="1"/>
    <col min="6430" max="6430" width="10.85546875" style="1" customWidth="1"/>
    <col min="6431" max="6431" width="11.5703125" style="1" customWidth="1"/>
    <col min="6432" max="6432" width="0" style="1" hidden="1" customWidth="1"/>
    <col min="6433" max="6433" width="8" style="1" customWidth="1"/>
    <col min="6434" max="6434" width="7.28515625" style="1" customWidth="1"/>
    <col min="6435" max="6435" width="18.7109375" style="1" customWidth="1"/>
    <col min="6436" max="6436" width="14.140625" style="1" customWidth="1"/>
    <col min="6437" max="6437" width="11.7109375" style="1" bestFit="1" customWidth="1"/>
    <col min="6438" max="6438" width="10.140625" style="1" bestFit="1" customWidth="1"/>
    <col min="6439" max="6655" width="9" style="1"/>
    <col min="6656" max="6656" width="4.7109375" style="1" customWidth="1"/>
    <col min="6657" max="6657" width="8.140625" style="1" customWidth="1"/>
    <col min="6658" max="6658" width="16" style="1" customWidth="1"/>
    <col min="6659" max="6659" width="13.28515625" style="1" customWidth="1"/>
    <col min="6660" max="6660" width="87.7109375" style="1" customWidth="1"/>
    <col min="6661" max="6661" width="8.28515625" style="1" customWidth="1"/>
    <col min="6662" max="6662" width="0" style="1" hidden="1" customWidth="1"/>
    <col min="6663" max="6663" width="11.5703125" style="1" customWidth="1"/>
    <col min="6664" max="6664" width="11.42578125" style="1" customWidth="1"/>
    <col min="6665" max="6665" width="14.5703125" style="1" customWidth="1"/>
    <col min="6666" max="6666" width="13.5703125" style="1" customWidth="1"/>
    <col min="6667" max="6667" width="14.85546875" style="1" customWidth="1"/>
    <col min="6668" max="6668" width="0" style="1" hidden="1" customWidth="1"/>
    <col min="6669" max="6669" width="14.5703125" style="1" customWidth="1"/>
    <col min="6670" max="6670" width="12.140625" style="1" customWidth="1"/>
    <col min="6671" max="6671" width="13.85546875" style="1" customWidth="1"/>
    <col min="6672" max="6672" width="15.28515625" style="1" customWidth="1"/>
    <col min="6673" max="6673" width="11.7109375" style="1" customWidth="1"/>
    <col min="6674" max="6674" width="8.85546875" style="1" customWidth="1"/>
    <col min="6675" max="6675" width="12" style="1" customWidth="1"/>
    <col min="6676" max="6681" width="0" style="1" hidden="1" customWidth="1"/>
    <col min="6682" max="6682" width="9.42578125" style="1" customWidth="1"/>
    <col min="6683" max="6683" width="12.140625" style="1" customWidth="1"/>
    <col min="6684" max="6684" width="11.42578125" style="1" customWidth="1"/>
    <col min="6685" max="6685" width="11.28515625" style="1" bestFit="1" customWidth="1"/>
    <col min="6686" max="6686" width="10.85546875" style="1" customWidth="1"/>
    <col min="6687" max="6687" width="11.5703125" style="1" customWidth="1"/>
    <col min="6688" max="6688" width="0" style="1" hidden="1" customWidth="1"/>
    <col min="6689" max="6689" width="8" style="1" customWidth="1"/>
    <col min="6690" max="6690" width="7.28515625" style="1" customWidth="1"/>
    <col min="6691" max="6691" width="18.7109375" style="1" customWidth="1"/>
    <col min="6692" max="6692" width="14.140625" style="1" customWidth="1"/>
    <col min="6693" max="6693" width="11.7109375" style="1" bestFit="1" customWidth="1"/>
    <col min="6694" max="6694" width="10.140625" style="1" bestFit="1" customWidth="1"/>
    <col min="6695" max="6911" width="9" style="1"/>
    <col min="6912" max="6912" width="4.7109375" style="1" customWidth="1"/>
    <col min="6913" max="6913" width="8.140625" style="1" customWidth="1"/>
    <col min="6914" max="6914" width="16" style="1" customWidth="1"/>
    <col min="6915" max="6915" width="13.28515625" style="1" customWidth="1"/>
    <col min="6916" max="6916" width="87.7109375" style="1" customWidth="1"/>
    <col min="6917" max="6917" width="8.28515625" style="1" customWidth="1"/>
    <col min="6918" max="6918" width="0" style="1" hidden="1" customWidth="1"/>
    <col min="6919" max="6919" width="11.5703125" style="1" customWidth="1"/>
    <col min="6920" max="6920" width="11.42578125" style="1" customWidth="1"/>
    <col min="6921" max="6921" width="14.5703125" style="1" customWidth="1"/>
    <col min="6922" max="6922" width="13.5703125" style="1" customWidth="1"/>
    <col min="6923" max="6923" width="14.85546875" style="1" customWidth="1"/>
    <col min="6924" max="6924" width="0" style="1" hidden="1" customWidth="1"/>
    <col min="6925" max="6925" width="14.5703125" style="1" customWidth="1"/>
    <col min="6926" max="6926" width="12.140625" style="1" customWidth="1"/>
    <col min="6927" max="6927" width="13.85546875" style="1" customWidth="1"/>
    <col min="6928" max="6928" width="15.28515625" style="1" customWidth="1"/>
    <col min="6929" max="6929" width="11.7109375" style="1" customWidth="1"/>
    <col min="6930" max="6930" width="8.85546875" style="1" customWidth="1"/>
    <col min="6931" max="6931" width="12" style="1" customWidth="1"/>
    <col min="6932" max="6937" width="0" style="1" hidden="1" customWidth="1"/>
    <col min="6938" max="6938" width="9.42578125" style="1" customWidth="1"/>
    <col min="6939" max="6939" width="12.140625" style="1" customWidth="1"/>
    <col min="6940" max="6940" width="11.42578125" style="1" customWidth="1"/>
    <col min="6941" max="6941" width="11.28515625" style="1" bestFit="1" customWidth="1"/>
    <col min="6942" max="6942" width="10.85546875" style="1" customWidth="1"/>
    <col min="6943" max="6943" width="11.5703125" style="1" customWidth="1"/>
    <col min="6944" max="6944" width="0" style="1" hidden="1" customWidth="1"/>
    <col min="6945" max="6945" width="8" style="1" customWidth="1"/>
    <col min="6946" max="6946" width="7.28515625" style="1" customWidth="1"/>
    <col min="6947" max="6947" width="18.7109375" style="1" customWidth="1"/>
    <col min="6948" max="6948" width="14.140625" style="1" customWidth="1"/>
    <col min="6949" max="6949" width="11.7109375" style="1" bestFit="1" customWidth="1"/>
    <col min="6950" max="6950" width="10.140625" style="1" bestFit="1" customWidth="1"/>
    <col min="6951" max="7167" width="9" style="1"/>
    <col min="7168" max="7168" width="4.7109375" style="1" customWidth="1"/>
    <col min="7169" max="7169" width="8.140625" style="1" customWidth="1"/>
    <col min="7170" max="7170" width="16" style="1" customWidth="1"/>
    <col min="7171" max="7171" width="13.28515625" style="1" customWidth="1"/>
    <col min="7172" max="7172" width="87.7109375" style="1" customWidth="1"/>
    <col min="7173" max="7173" width="8.28515625" style="1" customWidth="1"/>
    <col min="7174" max="7174" width="0" style="1" hidden="1" customWidth="1"/>
    <col min="7175" max="7175" width="11.5703125" style="1" customWidth="1"/>
    <col min="7176" max="7176" width="11.42578125" style="1" customWidth="1"/>
    <col min="7177" max="7177" width="14.5703125" style="1" customWidth="1"/>
    <col min="7178" max="7178" width="13.5703125" style="1" customWidth="1"/>
    <col min="7179" max="7179" width="14.85546875" style="1" customWidth="1"/>
    <col min="7180" max="7180" width="0" style="1" hidden="1" customWidth="1"/>
    <col min="7181" max="7181" width="14.5703125" style="1" customWidth="1"/>
    <col min="7182" max="7182" width="12.140625" style="1" customWidth="1"/>
    <col min="7183" max="7183" width="13.85546875" style="1" customWidth="1"/>
    <col min="7184" max="7184" width="15.28515625" style="1" customWidth="1"/>
    <col min="7185" max="7185" width="11.7109375" style="1" customWidth="1"/>
    <col min="7186" max="7186" width="8.85546875" style="1" customWidth="1"/>
    <col min="7187" max="7187" width="12" style="1" customWidth="1"/>
    <col min="7188" max="7193" width="0" style="1" hidden="1" customWidth="1"/>
    <col min="7194" max="7194" width="9.42578125" style="1" customWidth="1"/>
    <col min="7195" max="7195" width="12.140625" style="1" customWidth="1"/>
    <col min="7196" max="7196" width="11.42578125" style="1" customWidth="1"/>
    <col min="7197" max="7197" width="11.28515625" style="1" bestFit="1" customWidth="1"/>
    <col min="7198" max="7198" width="10.85546875" style="1" customWidth="1"/>
    <col min="7199" max="7199" width="11.5703125" style="1" customWidth="1"/>
    <col min="7200" max="7200" width="0" style="1" hidden="1" customWidth="1"/>
    <col min="7201" max="7201" width="8" style="1" customWidth="1"/>
    <col min="7202" max="7202" width="7.28515625" style="1" customWidth="1"/>
    <col min="7203" max="7203" width="18.7109375" style="1" customWidth="1"/>
    <col min="7204" max="7204" width="14.140625" style="1" customWidth="1"/>
    <col min="7205" max="7205" width="11.7109375" style="1" bestFit="1" customWidth="1"/>
    <col min="7206" max="7206" width="10.140625" style="1" bestFit="1" customWidth="1"/>
    <col min="7207" max="7423" width="9" style="1"/>
    <col min="7424" max="7424" width="4.7109375" style="1" customWidth="1"/>
    <col min="7425" max="7425" width="8.140625" style="1" customWidth="1"/>
    <col min="7426" max="7426" width="16" style="1" customWidth="1"/>
    <col min="7427" max="7427" width="13.28515625" style="1" customWidth="1"/>
    <col min="7428" max="7428" width="87.7109375" style="1" customWidth="1"/>
    <col min="7429" max="7429" width="8.28515625" style="1" customWidth="1"/>
    <col min="7430" max="7430" width="0" style="1" hidden="1" customWidth="1"/>
    <col min="7431" max="7431" width="11.5703125" style="1" customWidth="1"/>
    <col min="7432" max="7432" width="11.42578125" style="1" customWidth="1"/>
    <col min="7433" max="7433" width="14.5703125" style="1" customWidth="1"/>
    <col min="7434" max="7434" width="13.5703125" style="1" customWidth="1"/>
    <col min="7435" max="7435" width="14.85546875" style="1" customWidth="1"/>
    <col min="7436" max="7436" width="0" style="1" hidden="1" customWidth="1"/>
    <col min="7437" max="7437" width="14.5703125" style="1" customWidth="1"/>
    <col min="7438" max="7438" width="12.140625" style="1" customWidth="1"/>
    <col min="7439" max="7439" width="13.85546875" style="1" customWidth="1"/>
    <col min="7440" max="7440" width="15.28515625" style="1" customWidth="1"/>
    <col min="7441" max="7441" width="11.7109375" style="1" customWidth="1"/>
    <col min="7442" max="7442" width="8.85546875" style="1" customWidth="1"/>
    <col min="7443" max="7443" width="12" style="1" customWidth="1"/>
    <col min="7444" max="7449" width="0" style="1" hidden="1" customWidth="1"/>
    <col min="7450" max="7450" width="9.42578125" style="1" customWidth="1"/>
    <col min="7451" max="7451" width="12.140625" style="1" customWidth="1"/>
    <col min="7452" max="7452" width="11.42578125" style="1" customWidth="1"/>
    <col min="7453" max="7453" width="11.28515625" style="1" bestFit="1" customWidth="1"/>
    <col min="7454" max="7454" width="10.85546875" style="1" customWidth="1"/>
    <col min="7455" max="7455" width="11.5703125" style="1" customWidth="1"/>
    <col min="7456" max="7456" width="0" style="1" hidden="1" customWidth="1"/>
    <col min="7457" max="7457" width="8" style="1" customWidth="1"/>
    <col min="7458" max="7458" width="7.28515625" style="1" customWidth="1"/>
    <col min="7459" max="7459" width="18.7109375" style="1" customWidth="1"/>
    <col min="7460" max="7460" width="14.140625" style="1" customWidth="1"/>
    <col min="7461" max="7461" width="11.7109375" style="1" bestFit="1" customWidth="1"/>
    <col min="7462" max="7462" width="10.140625" style="1" bestFit="1" customWidth="1"/>
    <col min="7463" max="7679" width="9" style="1"/>
    <col min="7680" max="7680" width="4.7109375" style="1" customWidth="1"/>
    <col min="7681" max="7681" width="8.140625" style="1" customWidth="1"/>
    <col min="7682" max="7682" width="16" style="1" customWidth="1"/>
    <col min="7683" max="7683" width="13.28515625" style="1" customWidth="1"/>
    <col min="7684" max="7684" width="87.7109375" style="1" customWidth="1"/>
    <col min="7685" max="7685" width="8.28515625" style="1" customWidth="1"/>
    <col min="7686" max="7686" width="0" style="1" hidden="1" customWidth="1"/>
    <col min="7687" max="7687" width="11.5703125" style="1" customWidth="1"/>
    <col min="7688" max="7688" width="11.42578125" style="1" customWidth="1"/>
    <col min="7689" max="7689" width="14.5703125" style="1" customWidth="1"/>
    <col min="7690" max="7690" width="13.5703125" style="1" customWidth="1"/>
    <col min="7691" max="7691" width="14.85546875" style="1" customWidth="1"/>
    <col min="7692" max="7692" width="0" style="1" hidden="1" customWidth="1"/>
    <col min="7693" max="7693" width="14.5703125" style="1" customWidth="1"/>
    <col min="7694" max="7694" width="12.140625" style="1" customWidth="1"/>
    <col min="7695" max="7695" width="13.85546875" style="1" customWidth="1"/>
    <col min="7696" max="7696" width="15.28515625" style="1" customWidth="1"/>
    <col min="7697" max="7697" width="11.7109375" style="1" customWidth="1"/>
    <col min="7698" max="7698" width="8.85546875" style="1" customWidth="1"/>
    <col min="7699" max="7699" width="12" style="1" customWidth="1"/>
    <col min="7700" max="7705" width="0" style="1" hidden="1" customWidth="1"/>
    <col min="7706" max="7706" width="9.42578125" style="1" customWidth="1"/>
    <col min="7707" max="7707" width="12.140625" style="1" customWidth="1"/>
    <col min="7708" max="7708" width="11.42578125" style="1" customWidth="1"/>
    <col min="7709" max="7709" width="11.28515625" style="1" bestFit="1" customWidth="1"/>
    <col min="7710" max="7710" width="10.85546875" style="1" customWidth="1"/>
    <col min="7711" max="7711" width="11.5703125" style="1" customWidth="1"/>
    <col min="7712" max="7712" width="0" style="1" hidden="1" customWidth="1"/>
    <col min="7713" max="7713" width="8" style="1" customWidth="1"/>
    <col min="7714" max="7714" width="7.28515625" style="1" customWidth="1"/>
    <col min="7715" max="7715" width="18.7109375" style="1" customWidth="1"/>
    <col min="7716" max="7716" width="14.140625" style="1" customWidth="1"/>
    <col min="7717" max="7717" width="11.7109375" style="1" bestFit="1" customWidth="1"/>
    <col min="7718" max="7718" width="10.140625" style="1" bestFit="1" customWidth="1"/>
    <col min="7719" max="7935" width="9" style="1"/>
    <col min="7936" max="7936" width="4.7109375" style="1" customWidth="1"/>
    <col min="7937" max="7937" width="8.140625" style="1" customWidth="1"/>
    <col min="7938" max="7938" width="16" style="1" customWidth="1"/>
    <col min="7939" max="7939" width="13.28515625" style="1" customWidth="1"/>
    <col min="7940" max="7940" width="87.7109375" style="1" customWidth="1"/>
    <col min="7941" max="7941" width="8.28515625" style="1" customWidth="1"/>
    <col min="7942" max="7942" width="0" style="1" hidden="1" customWidth="1"/>
    <col min="7943" max="7943" width="11.5703125" style="1" customWidth="1"/>
    <col min="7944" max="7944" width="11.42578125" style="1" customWidth="1"/>
    <col min="7945" max="7945" width="14.5703125" style="1" customWidth="1"/>
    <col min="7946" max="7946" width="13.5703125" style="1" customWidth="1"/>
    <col min="7947" max="7947" width="14.85546875" style="1" customWidth="1"/>
    <col min="7948" max="7948" width="0" style="1" hidden="1" customWidth="1"/>
    <col min="7949" max="7949" width="14.5703125" style="1" customWidth="1"/>
    <col min="7950" max="7950" width="12.140625" style="1" customWidth="1"/>
    <col min="7951" max="7951" width="13.85546875" style="1" customWidth="1"/>
    <col min="7952" max="7952" width="15.28515625" style="1" customWidth="1"/>
    <col min="7953" max="7953" width="11.7109375" style="1" customWidth="1"/>
    <col min="7954" max="7954" width="8.85546875" style="1" customWidth="1"/>
    <col min="7955" max="7955" width="12" style="1" customWidth="1"/>
    <col min="7956" max="7961" width="0" style="1" hidden="1" customWidth="1"/>
    <col min="7962" max="7962" width="9.42578125" style="1" customWidth="1"/>
    <col min="7963" max="7963" width="12.140625" style="1" customWidth="1"/>
    <col min="7964" max="7964" width="11.42578125" style="1" customWidth="1"/>
    <col min="7965" max="7965" width="11.28515625" style="1" bestFit="1" customWidth="1"/>
    <col min="7966" max="7966" width="10.85546875" style="1" customWidth="1"/>
    <col min="7967" max="7967" width="11.5703125" style="1" customWidth="1"/>
    <col min="7968" max="7968" width="0" style="1" hidden="1" customWidth="1"/>
    <col min="7969" max="7969" width="8" style="1" customWidth="1"/>
    <col min="7970" max="7970" width="7.28515625" style="1" customWidth="1"/>
    <col min="7971" max="7971" width="18.7109375" style="1" customWidth="1"/>
    <col min="7972" max="7972" width="14.140625" style="1" customWidth="1"/>
    <col min="7973" max="7973" width="11.7109375" style="1" bestFit="1" customWidth="1"/>
    <col min="7974" max="7974" width="10.140625" style="1" bestFit="1" customWidth="1"/>
    <col min="7975" max="8191" width="9" style="1"/>
    <col min="8192" max="8192" width="4.7109375" style="1" customWidth="1"/>
    <col min="8193" max="8193" width="8.140625" style="1" customWidth="1"/>
    <col min="8194" max="8194" width="16" style="1" customWidth="1"/>
    <col min="8195" max="8195" width="13.28515625" style="1" customWidth="1"/>
    <col min="8196" max="8196" width="87.7109375" style="1" customWidth="1"/>
    <col min="8197" max="8197" width="8.28515625" style="1" customWidth="1"/>
    <col min="8198" max="8198" width="0" style="1" hidden="1" customWidth="1"/>
    <col min="8199" max="8199" width="11.5703125" style="1" customWidth="1"/>
    <col min="8200" max="8200" width="11.42578125" style="1" customWidth="1"/>
    <col min="8201" max="8201" width="14.5703125" style="1" customWidth="1"/>
    <col min="8202" max="8202" width="13.5703125" style="1" customWidth="1"/>
    <col min="8203" max="8203" width="14.85546875" style="1" customWidth="1"/>
    <col min="8204" max="8204" width="0" style="1" hidden="1" customWidth="1"/>
    <col min="8205" max="8205" width="14.5703125" style="1" customWidth="1"/>
    <col min="8206" max="8206" width="12.140625" style="1" customWidth="1"/>
    <col min="8207" max="8207" width="13.85546875" style="1" customWidth="1"/>
    <col min="8208" max="8208" width="15.28515625" style="1" customWidth="1"/>
    <col min="8209" max="8209" width="11.7109375" style="1" customWidth="1"/>
    <col min="8210" max="8210" width="8.85546875" style="1" customWidth="1"/>
    <col min="8211" max="8211" width="12" style="1" customWidth="1"/>
    <col min="8212" max="8217" width="0" style="1" hidden="1" customWidth="1"/>
    <col min="8218" max="8218" width="9.42578125" style="1" customWidth="1"/>
    <col min="8219" max="8219" width="12.140625" style="1" customWidth="1"/>
    <col min="8220" max="8220" width="11.42578125" style="1" customWidth="1"/>
    <col min="8221" max="8221" width="11.28515625" style="1" bestFit="1" customWidth="1"/>
    <col min="8222" max="8222" width="10.85546875" style="1" customWidth="1"/>
    <col min="8223" max="8223" width="11.5703125" style="1" customWidth="1"/>
    <col min="8224" max="8224" width="0" style="1" hidden="1" customWidth="1"/>
    <col min="8225" max="8225" width="8" style="1" customWidth="1"/>
    <col min="8226" max="8226" width="7.28515625" style="1" customWidth="1"/>
    <col min="8227" max="8227" width="18.7109375" style="1" customWidth="1"/>
    <col min="8228" max="8228" width="14.140625" style="1" customWidth="1"/>
    <col min="8229" max="8229" width="11.7109375" style="1" bestFit="1" customWidth="1"/>
    <col min="8230" max="8230" width="10.140625" style="1" bestFit="1" customWidth="1"/>
    <col min="8231" max="8447" width="9" style="1"/>
    <col min="8448" max="8448" width="4.7109375" style="1" customWidth="1"/>
    <col min="8449" max="8449" width="8.140625" style="1" customWidth="1"/>
    <col min="8450" max="8450" width="16" style="1" customWidth="1"/>
    <col min="8451" max="8451" width="13.28515625" style="1" customWidth="1"/>
    <col min="8452" max="8452" width="87.7109375" style="1" customWidth="1"/>
    <col min="8453" max="8453" width="8.28515625" style="1" customWidth="1"/>
    <col min="8454" max="8454" width="0" style="1" hidden="1" customWidth="1"/>
    <col min="8455" max="8455" width="11.5703125" style="1" customWidth="1"/>
    <col min="8456" max="8456" width="11.42578125" style="1" customWidth="1"/>
    <col min="8457" max="8457" width="14.5703125" style="1" customWidth="1"/>
    <col min="8458" max="8458" width="13.5703125" style="1" customWidth="1"/>
    <col min="8459" max="8459" width="14.85546875" style="1" customWidth="1"/>
    <col min="8460" max="8460" width="0" style="1" hidden="1" customWidth="1"/>
    <col min="8461" max="8461" width="14.5703125" style="1" customWidth="1"/>
    <col min="8462" max="8462" width="12.140625" style="1" customWidth="1"/>
    <col min="8463" max="8463" width="13.85546875" style="1" customWidth="1"/>
    <col min="8464" max="8464" width="15.28515625" style="1" customWidth="1"/>
    <col min="8465" max="8465" width="11.7109375" style="1" customWidth="1"/>
    <col min="8466" max="8466" width="8.85546875" style="1" customWidth="1"/>
    <col min="8467" max="8467" width="12" style="1" customWidth="1"/>
    <col min="8468" max="8473" width="0" style="1" hidden="1" customWidth="1"/>
    <col min="8474" max="8474" width="9.42578125" style="1" customWidth="1"/>
    <col min="8475" max="8475" width="12.140625" style="1" customWidth="1"/>
    <col min="8476" max="8476" width="11.42578125" style="1" customWidth="1"/>
    <col min="8477" max="8477" width="11.28515625" style="1" bestFit="1" customWidth="1"/>
    <col min="8478" max="8478" width="10.85546875" style="1" customWidth="1"/>
    <col min="8479" max="8479" width="11.5703125" style="1" customWidth="1"/>
    <col min="8480" max="8480" width="0" style="1" hidden="1" customWidth="1"/>
    <col min="8481" max="8481" width="8" style="1" customWidth="1"/>
    <col min="8482" max="8482" width="7.28515625" style="1" customWidth="1"/>
    <col min="8483" max="8483" width="18.7109375" style="1" customWidth="1"/>
    <col min="8484" max="8484" width="14.140625" style="1" customWidth="1"/>
    <col min="8485" max="8485" width="11.7109375" style="1" bestFit="1" customWidth="1"/>
    <col min="8486" max="8486" width="10.140625" style="1" bestFit="1" customWidth="1"/>
    <col min="8487" max="8703" width="9" style="1"/>
    <col min="8704" max="8704" width="4.7109375" style="1" customWidth="1"/>
    <col min="8705" max="8705" width="8.140625" style="1" customWidth="1"/>
    <col min="8706" max="8706" width="16" style="1" customWidth="1"/>
    <col min="8707" max="8707" width="13.28515625" style="1" customWidth="1"/>
    <col min="8708" max="8708" width="87.7109375" style="1" customWidth="1"/>
    <col min="8709" max="8709" width="8.28515625" style="1" customWidth="1"/>
    <col min="8710" max="8710" width="0" style="1" hidden="1" customWidth="1"/>
    <col min="8711" max="8711" width="11.5703125" style="1" customWidth="1"/>
    <col min="8712" max="8712" width="11.42578125" style="1" customWidth="1"/>
    <col min="8713" max="8713" width="14.5703125" style="1" customWidth="1"/>
    <col min="8714" max="8714" width="13.5703125" style="1" customWidth="1"/>
    <col min="8715" max="8715" width="14.85546875" style="1" customWidth="1"/>
    <col min="8716" max="8716" width="0" style="1" hidden="1" customWidth="1"/>
    <col min="8717" max="8717" width="14.5703125" style="1" customWidth="1"/>
    <col min="8718" max="8718" width="12.140625" style="1" customWidth="1"/>
    <col min="8719" max="8719" width="13.85546875" style="1" customWidth="1"/>
    <col min="8720" max="8720" width="15.28515625" style="1" customWidth="1"/>
    <col min="8721" max="8721" width="11.7109375" style="1" customWidth="1"/>
    <col min="8722" max="8722" width="8.85546875" style="1" customWidth="1"/>
    <col min="8723" max="8723" width="12" style="1" customWidth="1"/>
    <col min="8724" max="8729" width="0" style="1" hidden="1" customWidth="1"/>
    <col min="8730" max="8730" width="9.42578125" style="1" customWidth="1"/>
    <col min="8731" max="8731" width="12.140625" style="1" customWidth="1"/>
    <col min="8732" max="8732" width="11.42578125" style="1" customWidth="1"/>
    <col min="8733" max="8733" width="11.28515625" style="1" bestFit="1" customWidth="1"/>
    <col min="8734" max="8734" width="10.85546875" style="1" customWidth="1"/>
    <col min="8735" max="8735" width="11.5703125" style="1" customWidth="1"/>
    <col min="8736" max="8736" width="0" style="1" hidden="1" customWidth="1"/>
    <col min="8737" max="8737" width="8" style="1" customWidth="1"/>
    <col min="8738" max="8738" width="7.28515625" style="1" customWidth="1"/>
    <col min="8739" max="8739" width="18.7109375" style="1" customWidth="1"/>
    <col min="8740" max="8740" width="14.140625" style="1" customWidth="1"/>
    <col min="8741" max="8741" width="11.7109375" style="1" bestFit="1" customWidth="1"/>
    <col min="8742" max="8742" width="10.140625" style="1" bestFit="1" customWidth="1"/>
    <col min="8743" max="8959" width="9" style="1"/>
    <col min="8960" max="8960" width="4.7109375" style="1" customWidth="1"/>
    <col min="8961" max="8961" width="8.140625" style="1" customWidth="1"/>
    <col min="8962" max="8962" width="16" style="1" customWidth="1"/>
    <col min="8963" max="8963" width="13.28515625" style="1" customWidth="1"/>
    <col min="8964" max="8964" width="87.7109375" style="1" customWidth="1"/>
    <col min="8965" max="8965" width="8.28515625" style="1" customWidth="1"/>
    <col min="8966" max="8966" width="0" style="1" hidden="1" customWidth="1"/>
    <col min="8967" max="8967" width="11.5703125" style="1" customWidth="1"/>
    <col min="8968" max="8968" width="11.42578125" style="1" customWidth="1"/>
    <col min="8969" max="8969" width="14.5703125" style="1" customWidth="1"/>
    <col min="8970" max="8970" width="13.5703125" style="1" customWidth="1"/>
    <col min="8971" max="8971" width="14.85546875" style="1" customWidth="1"/>
    <col min="8972" max="8972" width="0" style="1" hidden="1" customWidth="1"/>
    <col min="8973" max="8973" width="14.5703125" style="1" customWidth="1"/>
    <col min="8974" max="8974" width="12.140625" style="1" customWidth="1"/>
    <col min="8975" max="8975" width="13.85546875" style="1" customWidth="1"/>
    <col min="8976" max="8976" width="15.28515625" style="1" customWidth="1"/>
    <col min="8977" max="8977" width="11.7109375" style="1" customWidth="1"/>
    <col min="8978" max="8978" width="8.85546875" style="1" customWidth="1"/>
    <col min="8979" max="8979" width="12" style="1" customWidth="1"/>
    <col min="8980" max="8985" width="0" style="1" hidden="1" customWidth="1"/>
    <col min="8986" max="8986" width="9.42578125" style="1" customWidth="1"/>
    <col min="8987" max="8987" width="12.140625" style="1" customWidth="1"/>
    <col min="8988" max="8988" width="11.42578125" style="1" customWidth="1"/>
    <col min="8989" max="8989" width="11.28515625" style="1" bestFit="1" customWidth="1"/>
    <col min="8990" max="8990" width="10.85546875" style="1" customWidth="1"/>
    <col min="8991" max="8991" width="11.5703125" style="1" customWidth="1"/>
    <col min="8992" max="8992" width="0" style="1" hidden="1" customWidth="1"/>
    <col min="8993" max="8993" width="8" style="1" customWidth="1"/>
    <col min="8994" max="8994" width="7.28515625" style="1" customWidth="1"/>
    <col min="8995" max="8995" width="18.7109375" style="1" customWidth="1"/>
    <col min="8996" max="8996" width="14.140625" style="1" customWidth="1"/>
    <col min="8997" max="8997" width="11.7109375" style="1" bestFit="1" customWidth="1"/>
    <col min="8998" max="8998" width="10.140625" style="1" bestFit="1" customWidth="1"/>
    <col min="8999" max="9215" width="9" style="1"/>
    <col min="9216" max="9216" width="4.7109375" style="1" customWidth="1"/>
    <col min="9217" max="9217" width="8.140625" style="1" customWidth="1"/>
    <col min="9218" max="9218" width="16" style="1" customWidth="1"/>
    <col min="9219" max="9219" width="13.28515625" style="1" customWidth="1"/>
    <col min="9220" max="9220" width="87.7109375" style="1" customWidth="1"/>
    <col min="9221" max="9221" width="8.28515625" style="1" customWidth="1"/>
    <col min="9222" max="9222" width="0" style="1" hidden="1" customWidth="1"/>
    <col min="9223" max="9223" width="11.5703125" style="1" customWidth="1"/>
    <col min="9224" max="9224" width="11.42578125" style="1" customWidth="1"/>
    <col min="9225" max="9225" width="14.5703125" style="1" customWidth="1"/>
    <col min="9226" max="9226" width="13.5703125" style="1" customWidth="1"/>
    <col min="9227" max="9227" width="14.85546875" style="1" customWidth="1"/>
    <col min="9228" max="9228" width="0" style="1" hidden="1" customWidth="1"/>
    <col min="9229" max="9229" width="14.5703125" style="1" customWidth="1"/>
    <col min="9230" max="9230" width="12.140625" style="1" customWidth="1"/>
    <col min="9231" max="9231" width="13.85546875" style="1" customWidth="1"/>
    <col min="9232" max="9232" width="15.28515625" style="1" customWidth="1"/>
    <col min="9233" max="9233" width="11.7109375" style="1" customWidth="1"/>
    <col min="9234" max="9234" width="8.85546875" style="1" customWidth="1"/>
    <col min="9235" max="9235" width="12" style="1" customWidth="1"/>
    <col min="9236" max="9241" width="0" style="1" hidden="1" customWidth="1"/>
    <col min="9242" max="9242" width="9.42578125" style="1" customWidth="1"/>
    <col min="9243" max="9243" width="12.140625" style="1" customWidth="1"/>
    <col min="9244" max="9244" width="11.42578125" style="1" customWidth="1"/>
    <col min="9245" max="9245" width="11.28515625" style="1" bestFit="1" customWidth="1"/>
    <col min="9246" max="9246" width="10.85546875" style="1" customWidth="1"/>
    <col min="9247" max="9247" width="11.5703125" style="1" customWidth="1"/>
    <col min="9248" max="9248" width="0" style="1" hidden="1" customWidth="1"/>
    <col min="9249" max="9249" width="8" style="1" customWidth="1"/>
    <col min="9250" max="9250" width="7.28515625" style="1" customWidth="1"/>
    <col min="9251" max="9251" width="18.7109375" style="1" customWidth="1"/>
    <col min="9252" max="9252" width="14.140625" style="1" customWidth="1"/>
    <col min="9253" max="9253" width="11.7109375" style="1" bestFit="1" customWidth="1"/>
    <col min="9254" max="9254" width="10.140625" style="1" bestFit="1" customWidth="1"/>
    <col min="9255" max="9471" width="9" style="1"/>
    <col min="9472" max="9472" width="4.7109375" style="1" customWidth="1"/>
    <col min="9473" max="9473" width="8.140625" style="1" customWidth="1"/>
    <col min="9474" max="9474" width="16" style="1" customWidth="1"/>
    <col min="9475" max="9475" width="13.28515625" style="1" customWidth="1"/>
    <col min="9476" max="9476" width="87.7109375" style="1" customWidth="1"/>
    <col min="9477" max="9477" width="8.28515625" style="1" customWidth="1"/>
    <col min="9478" max="9478" width="0" style="1" hidden="1" customWidth="1"/>
    <col min="9479" max="9479" width="11.5703125" style="1" customWidth="1"/>
    <col min="9480" max="9480" width="11.42578125" style="1" customWidth="1"/>
    <col min="9481" max="9481" width="14.5703125" style="1" customWidth="1"/>
    <col min="9482" max="9482" width="13.5703125" style="1" customWidth="1"/>
    <col min="9483" max="9483" width="14.85546875" style="1" customWidth="1"/>
    <col min="9484" max="9484" width="0" style="1" hidden="1" customWidth="1"/>
    <col min="9485" max="9485" width="14.5703125" style="1" customWidth="1"/>
    <col min="9486" max="9486" width="12.140625" style="1" customWidth="1"/>
    <col min="9487" max="9487" width="13.85546875" style="1" customWidth="1"/>
    <col min="9488" max="9488" width="15.28515625" style="1" customWidth="1"/>
    <col min="9489" max="9489" width="11.7109375" style="1" customWidth="1"/>
    <col min="9490" max="9490" width="8.85546875" style="1" customWidth="1"/>
    <col min="9491" max="9491" width="12" style="1" customWidth="1"/>
    <col min="9492" max="9497" width="0" style="1" hidden="1" customWidth="1"/>
    <col min="9498" max="9498" width="9.42578125" style="1" customWidth="1"/>
    <col min="9499" max="9499" width="12.140625" style="1" customWidth="1"/>
    <col min="9500" max="9500" width="11.42578125" style="1" customWidth="1"/>
    <col min="9501" max="9501" width="11.28515625" style="1" bestFit="1" customWidth="1"/>
    <col min="9502" max="9502" width="10.85546875" style="1" customWidth="1"/>
    <col min="9503" max="9503" width="11.5703125" style="1" customWidth="1"/>
    <col min="9504" max="9504" width="0" style="1" hidden="1" customWidth="1"/>
    <col min="9505" max="9505" width="8" style="1" customWidth="1"/>
    <col min="9506" max="9506" width="7.28515625" style="1" customWidth="1"/>
    <col min="9507" max="9507" width="18.7109375" style="1" customWidth="1"/>
    <col min="9508" max="9508" width="14.140625" style="1" customWidth="1"/>
    <col min="9509" max="9509" width="11.7109375" style="1" bestFit="1" customWidth="1"/>
    <col min="9510" max="9510" width="10.140625" style="1" bestFit="1" customWidth="1"/>
    <col min="9511" max="9727" width="9" style="1"/>
    <col min="9728" max="9728" width="4.7109375" style="1" customWidth="1"/>
    <col min="9729" max="9729" width="8.140625" style="1" customWidth="1"/>
    <col min="9730" max="9730" width="16" style="1" customWidth="1"/>
    <col min="9731" max="9731" width="13.28515625" style="1" customWidth="1"/>
    <col min="9732" max="9732" width="87.7109375" style="1" customWidth="1"/>
    <col min="9733" max="9733" width="8.28515625" style="1" customWidth="1"/>
    <col min="9734" max="9734" width="0" style="1" hidden="1" customWidth="1"/>
    <col min="9735" max="9735" width="11.5703125" style="1" customWidth="1"/>
    <col min="9736" max="9736" width="11.42578125" style="1" customWidth="1"/>
    <col min="9737" max="9737" width="14.5703125" style="1" customWidth="1"/>
    <col min="9738" max="9738" width="13.5703125" style="1" customWidth="1"/>
    <col min="9739" max="9739" width="14.85546875" style="1" customWidth="1"/>
    <col min="9740" max="9740" width="0" style="1" hidden="1" customWidth="1"/>
    <col min="9741" max="9741" width="14.5703125" style="1" customWidth="1"/>
    <col min="9742" max="9742" width="12.140625" style="1" customWidth="1"/>
    <col min="9743" max="9743" width="13.85546875" style="1" customWidth="1"/>
    <col min="9744" max="9744" width="15.28515625" style="1" customWidth="1"/>
    <col min="9745" max="9745" width="11.7109375" style="1" customWidth="1"/>
    <col min="9746" max="9746" width="8.85546875" style="1" customWidth="1"/>
    <col min="9747" max="9747" width="12" style="1" customWidth="1"/>
    <col min="9748" max="9753" width="0" style="1" hidden="1" customWidth="1"/>
    <col min="9754" max="9754" width="9.42578125" style="1" customWidth="1"/>
    <col min="9755" max="9755" width="12.140625" style="1" customWidth="1"/>
    <col min="9756" max="9756" width="11.42578125" style="1" customWidth="1"/>
    <col min="9757" max="9757" width="11.28515625" style="1" bestFit="1" customWidth="1"/>
    <col min="9758" max="9758" width="10.85546875" style="1" customWidth="1"/>
    <col min="9759" max="9759" width="11.5703125" style="1" customWidth="1"/>
    <col min="9760" max="9760" width="0" style="1" hidden="1" customWidth="1"/>
    <col min="9761" max="9761" width="8" style="1" customWidth="1"/>
    <col min="9762" max="9762" width="7.28515625" style="1" customWidth="1"/>
    <col min="9763" max="9763" width="18.7109375" style="1" customWidth="1"/>
    <col min="9764" max="9764" width="14.140625" style="1" customWidth="1"/>
    <col min="9765" max="9765" width="11.7109375" style="1" bestFit="1" customWidth="1"/>
    <col min="9766" max="9766" width="10.140625" style="1" bestFit="1" customWidth="1"/>
    <col min="9767" max="9983" width="9" style="1"/>
    <col min="9984" max="9984" width="4.7109375" style="1" customWidth="1"/>
    <col min="9985" max="9985" width="8.140625" style="1" customWidth="1"/>
    <col min="9986" max="9986" width="16" style="1" customWidth="1"/>
    <col min="9987" max="9987" width="13.28515625" style="1" customWidth="1"/>
    <col min="9988" max="9988" width="87.7109375" style="1" customWidth="1"/>
    <col min="9989" max="9989" width="8.28515625" style="1" customWidth="1"/>
    <col min="9990" max="9990" width="0" style="1" hidden="1" customWidth="1"/>
    <col min="9991" max="9991" width="11.5703125" style="1" customWidth="1"/>
    <col min="9992" max="9992" width="11.42578125" style="1" customWidth="1"/>
    <col min="9993" max="9993" width="14.5703125" style="1" customWidth="1"/>
    <col min="9994" max="9994" width="13.5703125" style="1" customWidth="1"/>
    <col min="9995" max="9995" width="14.85546875" style="1" customWidth="1"/>
    <col min="9996" max="9996" width="0" style="1" hidden="1" customWidth="1"/>
    <col min="9997" max="9997" width="14.5703125" style="1" customWidth="1"/>
    <col min="9998" max="9998" width="12.140625" style="1" customWidth="1"/>
    <col min="9999" max="9999" width="13.85546875" style="1" customWidth="1"/>
    <col min="10000" max="10000" width="15.28515625" style="1" customWidth="1"/>
    <col min="10001" max="10001" width="11.7109375" style="1" customWidth="1"/>
    <col min="10002" max="10002" width="8.85546875" style="1" customWidth="1"/>
    <col min="10003" max="10003" width="12" style="1" customWidth="1"/>
    <col min="10004" max="10009" width="0" style="1" hidden="1" customWidth="1"/>
    <col min="10010" max="10010" width="9.42578125" style="1" customWidth="1"/>
    <col min="10011" max="10011" width="12.140625" style="1" customWidth="1"/>
    <col min="10012" max="10012" width="11.42578125" style="1" customWidth="1"/>
    <col min="10013" max="10013" width="11.28515625" style="1" bestFit="1" customWidth="1"/>
    <col min="10014" max="10014" width="10.85546875" style="1" customWidth="1"/>
    <col min="10015" max="10015" width="11.5703125" style="1" customWidth="1"/>
    <col min="10016" max="10016" width="0" style="1" hidden="1" customWidth="1"/>
    <col min="10017" max="10017" width="8" style="1" customWidth="1"/>
    <col min="10018" max="10018" width="7.28515625" style="1" customWidth="1"/>
    <col min="10019" max="10019" width="18.7109375" style="1" customWidth="1"/>
    <col min="10020" max="10020" width="14.140625" style="1" customWidth="1"/>
    <col min="10021" max="10021" width="11.7109375" style="1" bestFit="1" customWidth="1"/>
    <col min="10022" max="10022" width="10.140625" style="1" bestFit="1" customWidth="1"/>
    <col min="10023" max="10239" width="9" style="1"/>
    <col min="10240" max="10240" width="4.7109375" style="1" customWidth="1"/>
    <col min="10241" max="10241" width="8.140625" style="1" customWidth="1"/>
    <col min="10242" max="10242" width="16" style="1" customWidth="1"/>
    <col min="10243" max="10243" width="13.28515625" style="1" customWidth="1"/>
    <col min="10244" max="10244" width="87.7109375" style="1" customWidth="1"/>
    <col min="10245" max="10245" width="8.28515625" style="1" customWidth="1"/>
    <col min="10246" max="10246" width="0" style="1" hidden="1" customWidth="1"/>
    <col min="10247" max="10247" width="11.5703125" style="1" customWidth="1"/>
    <col min="10248" max="10248" width="11.42578125" style="1" customWidth="1"/>
    <col min="10249" max="10249" width="14.5703125" style="1" customWidth="1"/>
    <col min="10250" max="10250" width="13.5703125" style="1" customWidth="1"/>
    <col min="10251" max="10251" width="14.85546875" style="1" customWidth="1"/>
    <col min="10252" max="10252" width="0" style="1" hidden="1" customWidth="1"/>
    <col min="10253" max="10253" width="14.5703125" style="1" customWidth="1"/>
    <col min="10254" max="10254" width="12.140625" style="1" customWidth="1"/>
    <col min="10255" max="10255" width="13.85546875" style="1" customWidth="1"/>
    <col min="10256" max="10256" width="15.28515625" style="1" customWidth="1"/>
    <col min="10257" max="10257" width="11.7109375" style="1" customWidth="1"/>
    <col min="10258" max="10258" width="8.85546875" style="1" customWidth="1"/>
    <col min="10259" max="10259" width="12" style="1" customWidth="1"/>
    <col min="10260" max="10265" width="0" style="1" hidden="1" customWidth="1"/>
    <col min="10266" max="10266" width="9.42578125" style="1" customWidth="1"/>
    <col min="10267" max="10267" width="12.140625" style="1" customWidth="1"/>
    <col min="10268" max="10268" width="11.42578125" style="1" customWidth="1"/>
    <col min="10269" max="10269" width="11.28515625" style="1" bestFit="1" customWidth="1"/>
    <col min="10270" max="10270" width="10.85546875" style="1" customWidth="1"/>
    <col min="10271" max="10271" width="11.5703125" style="1" customWidth="1"/>
    <col min="10272" max="10272" width="0" style="1" hidden="1" customWidth="1"/>
    <col min="10273" max="10273" width="8" style="1" customWidth="1"/>
    <col min="10274" max="10274" width="7.28515625" style="1" customWidth="1"/>
    <col min="10275" max="10275" width="18.7109375" style="1" customWidth="1"/>
    <col min="10276" max="10276" width="14.140625" style="1" customWidth="1"/>
    <col min="10277" max="10277" width="11.7109375" style="1" bestFit="1" customWidth="1"/>
    <col min="10278" max="10278" width="10.140625" style="1" bestFit="1" customWidth="1"/>
    <col min="10279" max="10495" width="9" style="1"/>
    <col min="10496" max="10496" width="4.7109375" style="1" customWidth="1"/>
    <col min="10497" max="10497" width="8.140625" style="1" customWidth="1"/>
    <col min="10498" max="10498" width="16" style="1" customWidth="1"/>
    <col min="10499" max="10499" width="13.28515625" style="1" customWidth="1"/>
    <col min="10500" max="10500" width="87.7109375" style="1" customWidth="1"/>
    <col min="10501" max="10501" width="8.28515625" style="1" customWidth="1"/>
    <col min="10502" max="10502" width="0" style="1" hidden="1" customWidth="1"/>
    <col min="10503" max="10503" width="11.5703125" style="1" customWidth="1"/>
    <col min="10504" max="10504" width="11.42578125" style="1" customWidth="1"/>
    <col min="10505" max="10505" width="14.5703125" style="1" customWidth="1"/>
    <col min="10506" max="10506" width="13.5703125" style="1" customWidth="1"/>
    <col min="10507" max="10507" width="14.85546875" style="1" customWidth="1"/>
    <col min="10508" max="10508" width="0" style="1" hidden="1" customWidth="1"/>
    <col min="10509" max="10509" width="14.5703125" style="1" customWidth="1"/>
    <col min="10510" max="10510" width="12.140625" style="1" customWidth="1"/>
    <col min="10511" max="10511" width="13.85546875" style="1" customWidth="1"/>
    <col min="10512" max="10512" width="15.28515625" style="1" customWidth="1"/>
    <col min="10513" max="10513" width="11.7109375" style="1" customWidth="1"/>
    <col min="10514" max="10514" width="8.85546875" style="1" customWidth="1"/>
    <col min="10515" max="10515" width="12" style="1" customWidth="1"/>
    <col min="10516" max="10521" width="0" style="1" hidden="1" customWidth="1"/>
    <col min="10522" max="10522" width="9.42578125" style="1" customWidth="1"/>
    <col min="10523" max="10523" width="12.140625" style="1" customWidth="1"/>
    <col min="10524" max="10524" width="11.42578125" style="1" customWidth="1"/>
    <col min="10525" max="10525" width="11.28515625" style="1" bestFit="1" customWidth="1"/>
    <col min="10526" max="10526" width="10.85546875" style="1" customWidth="1"/>
    <col min="10527" max="10527" width="11.5703125" style="1" customWidth="1"/>
    <col min="10528" max="10528" width="0" style="1" hidden="1" customWidth="1"/>
    <col min="10529" max="10529" width="8" style="1" customWidth="1"/>
    <col min="10530" max="10530" width="7.28515625" style="1" customWidth="1"/>
    <col min="10531" max="10531" width="18.7109375" style="1" customWidth="1"/>
    <col min="10532" max="10532" width="14.140625" style="1" customWidth="1"/>
    <col min="10533" max="10533" width="11.7109375" style="1" bestFit="1" customWidth="1"/>
    <col min="10534" max="10534" width="10.140625" style="1" bestFit="1" customWidth="1"/>
    <col min="10535" max="10751" width="9" style="1"/>
    <col min="10752" max="10752" width="4.7109375" style="1" customWidth="1"/>
    <col min="10753" max="10753" width="8.140625" style="1" customWidth="1"/>
    <col min="10754" max="10754" width="16" style="1" customWidth="1"/>
    <col min="10755" max="10755" width="13.28515625" style="1" customWidth="1"/>
    <col min="10756" max="10756" width="87.7109375" style="1" customWidth="1"/>
    <col min="10757" max="10757" width="8.28515625" style="1" customWidth="1"/>
    <col min="10758" max="10758" width="0" style="1" hidden="1" customWidth="1"/>
    <col min="10759" max="10759" width="11.5703125" style="1" customWidth="1"/>
    <col min="10760" max="10760" width="11.42578125" style="1" customWidth="1"/>
    <col min="10761" max="10761" width="14.5703125" style="1" customWidth="1"/>
    <col min="10762" max="10762" width="13.5703125" style="1" customWidth="1"/>
    <col min="10763" max="10763" width="14.85546875" style="1" customWidth="1"/>
    <col min="10764" max="10764" width="0" style="1" hidden="1" customWidth="1"/>
    <col min="10765" max="10765" width="14.5703125" style="1" customWidth="1"/>
    <col min="10766" max="10766" width="12.140625" style="1" customWidth="1"/>
    <col min="10767" max="10767" width="13.85546875" style="1" customWidth="1"/>
    <col min="10768" max="10768" width="15.28515625" style="1" customWidth="1"/>
    <col min="10769" max="10769" width="11.7109375" style="1" customWidth="1"/>
    <col min="10770" max="10770" width="8.85546875" style="1" customWidth="1"/>
    <col min="10771" max="10771" width="12" style="1" customWidth="1"/>
    <col min="10772" max="10777" width="0" style="1" hidden="1" customWidth="1"/>
    <col min="10778" max="10778" width="9.42578125" style="1" customWidth="1"/>
    <col min="10779" max="10779" width="12.140625" style="1" customWidth="1"/>
    <col min="10780" max="10780" width="11.42578125" style="1" customWidth="1"/>
    <col min="10781" max="10781" width="11.28515625" style="1" bestFit="1" customWidth="1"/>
    <col min="10782" max="10782" width="10.85546875" style="1" customWidth="1"/>
    <col min="10783" max="10783" width="11.5703125" style="1" customWidth="1"/>
    <col min="10784" max="10784" width="0" style="1" hidden="1" customWidth="1"/>
    <col min="10785" max="10785" width="8" style="1" customWidth="1"/>
    <col min="10786" max="10786" width="7.28515625" style="1" customWidth="1"/>
    <col min="10787" max="10787" width="18.7109375" style="1" customWidth="1"/>
    <col min="10788" max="10788" width="14.140625" style="1" customWidth="1"/>
    <col min="10789" max="10789" width="11.7109375" style="1" bestFit="1" customWidth="1"/>
    <col min="10790" max="10790" width="10.140625" style="1" bestFit="1" customWidth="1"/>
    <col min="10791" max="11007" width="9" style="1"/>
    <col min="11008" max="11008" width="4.7109375" style="1" customWidth="1"/>
    <col min="11009" max="11009" width="8.140625" style="1" customWidth="1"/>
    <col min="11010" max="11010" width="16" style="1" customWidth="1"/>
    <col min="11011" max="11011" width="13.28515625" style="1" customWidth="1"/>
    <col min="11012" max="11012" width="87.7109375" style="1" customWidth="1"/>
    <col min="11013" max="11013" width="8.28515625" style="1" customWidth="1"/>
    <col min="11014" max="11014" width="0" style="1" hidden="1" customWidth="1"/>
    <col min="11015" max="11015" width="11.5703125" style="1" customWidth="1"/>
    <col min="11016" max="11016" width="11.42578125" style="1" customWidth="1"/>
    <col min="11017" max="11017" width="14.5703125" style="1" customWidth="1"/>
    <col min="11018" max="11018" width="13.5703125" style="1" customWidth="1"/>
    <col min="11019" max="11019" width="14.85546875" style="1" customWidth="1"/>
    <col min="11020" max="11020" width="0" style="1" hidden="1" customWidth="1"/>
    <col min="11021" max="11021" width="14.5703125" style="1" customWidth="1"/>
    <col min="11022" max="11022" width="12.140625" style="1" customWidth="1"/>
    <col min="11023" max="11023" width="13.85546875" style="1" customWidth="1"/>
    <col min="11024" max="11024" width="15.28515625" style="1" customWidth="1"/>
    <col min="11025" max="11025" width="11.7109375" style="1" customWidth="1"/>
    <col min="11026" max="11026" width="8.85546875" style="1" customWidth="1"/>
    <col min="11027" max="11027" width="12" style="1" customWidth="1"/>
    <col min="11028" max="11033" width="0" style="1" hidden="1" customWidth="1"/>
    <col min="11034" max="11034" width="9.42578125" style="1" customWidth="1"/>
    <col min="11035" max="11035" width="12.140625" style="1" customWidth="1"/>
    <col min="11036" max="11036" width="11.42578125" style="1" customWidth="1"/>
    <col min="11037" max="11037" width="11.28515625" style="1" bestFit="1" customWidth="1"/>
    <col min="11038" max="11038" width="10.85546875" style="1" customWidth="1"/>
    <col min="11039" max="11039" width="11.5703125" style="1" customWidth="1"/>
    <col min="11040" max="11040" width="0" style="1" hidden="1" customWidth="1"/>
    <col min="11041" max="11041" width="8" style="1" customWidth="1"/>
    <col min="11042" max="11042" width="7.28515625" style="1" customWidth="1"/>
    <col min="11043" max="11043" width="18.7109375" style="1" customWidth="1"/>
    <col min="11044" max="11044" width="14.140625" style="1" customWidth="1"/>
    <col min="11045" max="11045" width="11.7109375" style="1" bestFit="1" customWidth="1"/>
    <col min="11046" max="11046" width="10.140625" style="1" bestFit="1" customWidth="1"/>
    <col min="11047" max="11263" width="9" style="1"/>
    <col min="11264" max="11264" width="4.7109375" style="1" customWidth="1"/>
    <col min="11265" max="11265" width="8.140625" style="1" customWidth="1"/>
    <col min="11266" max="11266" width="16" style="1" customWidth="1"/>
    <col min="11267" max="11267" width="13.28515625" style="1" customWidth="1"/>
    <col min="11268" max="11268" width="87.7109375" style="1" customWidth="1"/>
    <col min="11269" max="11269" width="8.28515625" style="1" customWidth="1"/>
    <col min="11270" max="11270" width="0" style="1" hidden="1" customWidth="1"/>
    <col min="11271" max="11271" width="11.5703125" style="1" customWidth="1"/>
    <col min="11272" max="11272" width="11.42578125" style="1" customWidth="1"/>
    <col min="11273" max="11273" width="14.5703125" style="1" customWidth="1"/>
    <col min="11274" max="11274" width="13.5703125" style="1" customWidth="1"/>
    <col min="11275" max="11275" width="14.85546875" style="1" customWidth="1"/>
    <col min="11276" max="11276" width="0" style="1" hidden="1" customWidth="1"/>
    <col min="11277" max="11277" width="14.5703125" style="1" customWidth="1"/>
    <col min="11278" max="11278" width="12.140625" style="1" customWidth="1"/>
    <col min="11279" max="11279" width="13.85546875" style="1" customWidth="1"/>
    <col min="11280" max="11280" width="15.28515625" style="1" customWidth="1"/>
    <col min="11281" max="11281" width="11.7109375" style="1" customWidth="1"/>
    <col min="11282" max="11282" width="8.85546875" style="1" customWidth="1"/>
    <col min="11283" max="11283" width="12" style="1" customWidth="1"/>
    <col min="11284" max="11289" width="0" style="1" hidden="1" customWidth="1"/>
    <col min="11290" max="11290" width="9.42578125" style="1" customWidth="1"/>
    <col min="11291" max="11291" width="12.140625" style="1" customWidth="1"/>
    <col min="11292" max="11292" width="11.42578125" style="1" customWidth="1"/>
    <col min="11293" max="11293" width="11.28515625" style="1" bestFit="1" customWidth="1"/>
    <col min="11294" max="11294" width="10.85546875" style="1" customWidth="1"/>
    <col min="11295" max="11295" width="11.5703125" style="1" customWidth="1"/>
    <col min="11296" max="11296" width="0" style="1" hidden="1" customWidth="1"/>
    <col min="11297" max="11297" width="8" style="1" customWidth="1"/>
    <col min="11298" max="11298" width="7.28515625" style="1" customWidth="1"/>
    <col min="11299" max="11299" width="18.7109375" style="1" customWidth="1"/>
    <col min="11300" max="11300" width="14.140625" style="1" customWidth="1"/>
    <col min="11301" max="11301" width="11.7109375" style="1" bestFit="1" customWidth="1"/>
    <col min="11302" max="11302" width="10.140625" style="1" bestFit="1" customWidth="1"/>
    <col min="11303" max="11519" width="9" style="1"/>
    <col min="11520" max="11520" width="4.7109375" style="1" customWidth="1"/>
    <col min="11521" max="11521" width="8.140625" style="1" customWidth="1"/>
    <col min="11522" max="11522" width="16" style="1" customWidth="1"/>
    <col min="11523" max="11523" width="13.28515625" style="1" customWidth="1"/>
    <col min="11524" max="11524" width="87.7109375" style="1" customWidth="1"/>
    <col min="11525" max="11525" width="8.28515625" style="1" customWidth="1"/>
    <col min="11526" max="11526" width="0" style="1" hidden="1" customWidth="1"/>
    <col min="11527" max="11527" width="11.5703125" style="1" customWidth="1"/>
    <col min="11528" max="11528" width="11.42578125" style="1" customWidth="1"/>
    <col min="11529" max="11529" width="14.5703125" style="1" customWidth="1"/>
    <col min="11530" max="11530" width="13.5703125" style="1" customWidth="1"/>
    <col min="11531" max="11531" width="14.85546875" style="1" customWidth="1"/>
    <col min="11532" max="11532" width="0" style="1" hidden="1" customWidth="1"/>
    <col min="11533" max="11533" width="14.5703125" style="1" customWidth="1"/>
    <col min="11534" max="11534" width="12.140625" style="1" customWidth="1"/>
    <col min="11535" max="11535" width="13.85546875" style="1" customWidth="1"/>
    <col min="11536" max="11536" width="15.28515625" style="1" customWidth="1"/>
    <col min="11537" max="11537" width="11.7109375" style="1" customWidth="1"/>
    <col min="11538" max="11538" width="8.85546875" style="1" customWidth="1"/>
    <col min="11539" max="11539" width="12" style="1" customWidth="1"/>
    <col min="11540" max="11545" width="0" style="1" hidden="1" customWidth="1"/>
    <col min="11546" max="11546" width="9.42578125" style="1" customWidth="1"/>
    <col min="11547" max="11547" width="12.140625" style="1" customWidth="1"/>
    <col min="11548" max="11548" width="11.42578125" style="1" customWidth="1"/>
    <col min="11549" max="11549" width="11.28515625" style="1" bestFit="1" customWidth="1"/>
    <col min="11550" max="11550" width="10.85546875" style="1" customWidth="1"/>
    <col min="11551" max="11551" width="11.5703125" style="1" customWidth="1"/>
    <col min="11552" max="11552" width="0" style="1" hidden="1" customWidth="1"/>
    <col min="11553" max="11553" width="8" style="1" customWidth="1"/>
    <col min="11554" max="11554" width="7.28515625" style="1" customWidth="1"/>
    <col min="11555" max="11555" width="18.7109375" style="1" customWidth="1"/>
    <col min="11556" max="11556" width="14.140625" style="1" customWidth="1"/>
    <col min="11557" max="11557" width="11.7109375" style="1" bestFit="1" customWidth="1"/>
    <col min="11558" max="11558" width="10.140625" style="1" bestFit="1" customWidth="1"/>
    <col min="11559" max="11775" width="9" style="1"/>
    <col min="11776" max="11776" width="4.7109375" style="1" customWidth="1"/>
    <col min="11777" max="11777" width="8.140625" style="1" customWidth="1"/>
    <col min="11778" max="11778" width="16" style="1" customWidth="1"/>
    <col min="11779" max="11779" width="13.28515625" style="1" customWidth="1"/>
    <col min="11780" max="11780" width="87.7109375" style="1" customWidth="1"/>
    <col min="11781" max="11781" width="8.28515625" style="1" customWidth="1"/>
    <col min="11782" max="11782" width="0" style="1" hidden="1" customWidth="1"/>
    <col min="11783" max="11783" width="11.5703125" style="1" customWidth="1"/>
    <col min="11784" max="11784" width="11.42578125" style="1" customWidth="1"/>
    <col min="11785" max="11785" width="14.5703125" style="1" customWidth="1"/>
    <col min="11786" max="11786" width="13.5703125" style="1" customWidth="1"/>
    <col min="11787" max="11787" width="14.85546875" style="1" customWidth="1"/>
    <col min="11788" max="11788" width="0" style="1" hidden="1" customWidth="1"/>
    <col min="11789" max="11789" width="14.5703125" style="1" customWidth="1"/>
    <col min="11790" max="11790" width="12.140625" style="1" customWidth="1"/>
    <col min="11791" max="11791" width="13.85546875" style="1" customWidth="1"/>
    <col min="11792" max="11792" width="15.28515625" style="1" customWidth="1"/>
    <col min="11793" max="11793" width="11.7109375" style="1" customWidth="1"/>
    <col min="11794" max="11794" width="8.85546875" style="1" customWidth="1"/>
    <col min="11795" max="11795" width="12" style="1" customWidth="1"/>
    <col min="11796" max="11801" width="0" style="1" hidden="1" customWidth="1"/>
    <col min="11802" max="11802" width="9.42578125" style="1" customWidth="1"/>
    <col min="11803" max="11803" width="12.140625" style="1" customWidth="1"/>
    <col min="11804" max="11804" width="11.42578125" style="1" customWidth="1"/>
    <col min="11805" max="11805" width="11.28515625" style="1" bestFit="1" customWidth="1"/>
    <col min="11806" max="11806" width="10.85546875" style="1" customWidth="1"/>
    <col min="11807" max="11807" width="11.5703125" style="1" customWidth="1"/>
    <col min="11808" max="11808" width="0" style="1" hidden="1" customWidth="1"/>
    <col min="11809" max="11809" width="8" style="1" customWidth="1"/>
    <col min="11810" max="11810" width="7.28515625" style="1" customWidth="1"/>
    <col min="11811" max="11811" width="18.7109375" style="1" customWidth="1"/>
    <col min="11812" max="11812" width="14.140625" style="1" customWidth="1"/>
    <col min="11813" max="11813" width="11.7109375" style="1" bestFit="1" customWidth="1"/>
    <col min="11814" max="11814" width="10.140625" style="1" bestFit="1" customWidth="1"/>
    <col min="11815" max="12031" width="9" style="1"/>
    <col min="12032" max="12032" width="4.7109375" style="1" customWidth="1"/>
    <col min="12033" max="12033" width="8.140625" style="1" customWidth="1"/>
    <col min="12034" max="12034" width="16" style="1" customWidth="1"/>
    <col min="12035" max="12035" width="13.28515625" style="1" customWidth="1"/>
    <col min="12036" max="12036" width="87.7109375" style="1" customWidth="1"/>
    <col min="12037" max="12037" width="8.28515625" style="1" customWidth="1"/>
    <col min="12038" max="12038" width="0" style="1" hidden="1" customWidth="1"/>
    <col min="12039" max="12039" width="11.5703125" style="1" customWidth="1"/>
    <col min="12040" max="12040" width="11.42578125" style="1" customWidth="1"/>
    <col min="12041" max="12041" width="14.5703125" style="1" customWidth="1"/>
    <col min="12042" max="12042" width="13.5703125" style="1" customWidth="1"/>
    <col min="12043" max="12043" width="14.85546875" style="1" customWidth="1"/>
    <col min="12044" max="12044" width="0" style="1" hidden="1" customWidth="1"/>
    <col min="12045" max="12045" width="14.5703125" style="1" customWidth="1"/>
    <col min="12046" max="12046" width="12.140625" style="1" customWidth="1"/>
    <col min="12047" max="12047" width="13.85546875" style="1" customWidth="1"/>
    <col min="12048" max="12048" width="15.28515625" style="1" customWidth="1"/>
    <col min="12049" max="12049" width="11.7109375" style="1" customWidth="1"/>
    <col min="12050" max="12050" width="8.85546875" style="1" customWidth="1"/>
    <col min="12051" max="12051" width="12" style="1" customWidth="1"/>
    <col min="12052" max="12057" width="0" style="1" hidden="1" customWidth="1"/>
    <col min="12058" max="12058" width="9.42578125" style="1" customWidth="1"/>
    <col min="12059" max="12059" width="12.140625" style="1" customWidth="1"/>
    <col min="12060" max="12060" width="11.42578125" style="1" customWidth="1"/>
    <col min="12061" max="12061" width="11.28515625" style="1" bestFit="1" customWidth="1"/>
    <col min="12062" max="12062" width="10.85546875" style="1" customWidth="1"/>
    <col min="12063" max="12063" width="11.5703125" style="1" customWidth="1"/>
    <col min="12064" max="12064" width="0" style="1" hidden="1" customWidth="1"/>
    <col min="12065" max="12065" width="8" style="1" customWidth="1"/>
    <col min="12066" max="12066" width="7.28515625" style="1" customWidth="1"/>
    <col min="12067" max="12067" width="18.7109375" style="1" customWidth="1"/>
    <col min="12068" max="12068" width="14.140625" style="1" customWidth="1"/>
    <col min="12069" max="12069" width="11.7109375" style="1" bestFit="1" customWidth="1"/>
    <col min="12070" max="12070" width="10.140625" style="1" bestFit="1" customWidth="1"/>
    <col min="12071" max="12287" width="9" style="1"/>
    <col min="12288" max="12288" width="4.7109375" style="1" customWidth="1"/>
    <col min="12289" max="12289" width="8.140625" style="1" customWidth="1"/>
    <col min="12290" max="12290" width="16" style="1" customWidth="1"/>
    <col min="12291" max="12291" width="13.28515625" style="1" customWidth="1"/>
    <col min="12292" max="12292" width="87.7109375" style="1" customWidth="1"/>
    <col min="12293" max="12293" width="8.28515625" style="1" customWidth="1"/>
    <col min="12294" max="12294" width="0" style="1" hidden="1" customWidth="1"/>
    <col min="12295" max="12295" width="11.5703125" style="1" customWidth="1"/>
    <col min="12296" max="12296" width="11.42578125" style="1" customWidth="1"/>
    <col min="12297" max="12297" width="14.5703125" style="1" customWidth="1"/>
    <col min="12298" max="12298" width="13.5703125" style="1" customWidth="1"/>
    <col min="12299" max="12299" width="14.85546875" style="1" customWidth="1"/>
    <col min="12300" max="12300" width="0" style="1" hidden="1" customWidth="1"/>
    <col min="12301" max="12301" width="14.5703125" style="1" customWidth="1"/>
    <col min="12302" max="12302" width="12.140625" style="1" customWidth="1"/>
    <col min="12303" max="12303" width="13.85546875" style="1" customWidth="1"/>
    <col min="12304" max="12304" width="15.28515625" style="1" customWidth="1"/>
    <col min="12305" max="12305" width="11.7109375" style="1" customWidth="1"/>
    <col min="12306" max="12306" width="8.85546875" style="1" customWidth="1"/>
    <col min="12307" max="12307" width="12" style="1" customWidth="1"/>
    <col min="12308" max="12313" width="0" style="1" hidden="1" customWidth="1"/>
    <col min="12314" max="12314" width="9.42578125" style="1" customWidth="1"/>
    <col min="12315" max="12315" width="12.140625" style="1" customWidth="1"/>
    <col min="12316" max="12316" width="11.42578125" style="1" customWidth="1"/>
    <col min="12317" max="12317" width="11.28515625" style="1" bestFit="1" customWidth="1"/>
    <col min="12318" max="12318" width="10.85546875" style="1" customWidth="1"/>
    <col min="12319" max="12319" width="11.5703125" style="1" customWidth="1"/>
    <col min="12320" max="12320" width="0" style="1" hidden="1" customWidth="1"/>
    <col min="12321" max="12321" width="8" style="1" customWidth="1"/>
    <col min="12322" max="12322" width="7.28515625" style="1" customWidth="1"/>
    <col min="12323" max="12323" width="18.7109375" style="1" customWidth="1"/>
    <col min="12324" max="12324" width="14.140625" style="1" customWidth="1"/>
    <col min="12325" max="12325" width="11.7109375" style="1" bestFit="1" customWidth="1"/>
    <col min="12326" max="12326" width="10.140625" style="1" bestFit="1" customWidth="1"/>
    <col min="12327" max="12543" width="9" style="1"/>
    <col min="12544" max="12544" width="4.7109375" style="1" customWidth="1"/>
    <col min="12545" max="12545" width="8.140625" style="1" customWidth="1"/>
    <col min="12546" max="12546" width="16" style="1" customWidth="1"/>
    <col min="12547" max="12547" width="13.28515625" style="1" customWidth="1"/>
    <col min="12548" max="12548" width="87.7109375" style="1" customWidth="1"/>
    <col min="12549" max="12549" width="8.28515625" style="1" customWidth="1"/>
    <col min="12550" max="12550" width="0" style="1" hidden="1" customWidth="1"/>
    <col min="12551" max="12551" width="11.5703125" style="1" customWidth="1"/>
    <col min="12552" max="12552" width="11.42578125" style="1" customWidth="1"/>
    <col min="12553" max="12553" width="14.5703125" style="1" customWidth="1"/>
    <col min="12554" max="12554" width="13.5703125" style="1" customWidth="1"/>
    <col min="12555" max="12555" width="14.85546875" style="1" customWidth="1"/>
    <col min="12556" max="12556" width="0" style="1" hidden="1" customWidth="1"/>
    <col min="12557" max="12557" width="14.5703125" style="1" customWidth="1"/>
    <col min="12558" max="12558" width="12.140625" style="1" customWidth="1"/>
    <col min="12559" max="12559" width="13.85546875" style="1" customWidth="1"/>
    <col min="12560" max="12560" width="15.28515625" style="1" customWidth="1"/>
    <col min="12561" max="12561" width="11.7109375" style="1" customWidth="1"/>
    <col min="12562" max="12562" width="8.85546875" style="1" customWidth="1"/>
    <col min="12563" max="12563" width="12" style="1" customWidth="1"/>
    <col min="12564" max="12569" width="0" style="1" hidden="1" customWidth="1"/>
    <col min="12570" max="12570" width="9.42578125" style="1" customWidth="1"/>
    <col min="12571" max="12571" width="12.140625" style="1" customWidth="1"/>
    <col min="12572" max="12572" width="11.42578125" style="1" customWidth="1"/>
    <col min="12573" max="12573" width="11.28515625" style="1" bestFit="1" customWidth="1"/>
    <col min="12574" max="12574" width="10.85546875" style="1" customWidth="1"/>
    <col min="12575" max="12575" width="11.5703125" style="1" customWidth="1"/>
    <col min="12576" max="12576" width="0" style="1" hidden="1" customWidth="1"/>
    <col min="12577" max="12577" width="8" style="1" customWidth="1"/>
    <col min="12578" max="12578" width="7.28515625" style="1" customWidth="1"/>
    <col min="12579" max="12579" width="18.7109375" style="1" customWidth="1"/>
    <col min="12580" max="12580" width="14.140625" style="1" customWidth="1"/>
    <col min="12581" max="12581" width="11.7109375" style="1" bestFit="1" customWidth="1"/>
    <col min="12582" max="12582" width="10.140625" style="1" bestFit="1" customWidth="1"/>
    <col min="12583" max="12799" width="9" style="1"/>
    <col min="12800" max="12800" width="4.7109375" style="1" customWidth="1"/>
    <col min="12801" max="12801" width="8.140625" style="1" customWidth="1"/>
    <col min="12802" max="12802" width="16" style="1" customWidth="1"/>
    <col min="12803" max="12803" width="13.28515625" style="1" customWidth="1"/>
    <col min="12804" max="12804" width="87.7109375" style="1" customWidth="1"/>
    <col min="12805" max="12805" width="8.28515625" style="1" customWidth="1"/>
    <col min="12806" max="12806" width="0" style="1" hidden="1" customWidth="1"/>
    <col min="12807" max="12807" width="11.5703125" style="1" customWidth="1"/>
    <col min="12808" max="12808" width="11.42578125" style="1" customWidth="1"/>
    <col min="12809" max="12809" width="14.5703125" style="1" customWidth="1"/>
    <col min="12810" max="12810" width="13.5703125" style="1" customWidth="1"/>
    <col min="12811" max="12811" width="14.85546875" style="1" customWidth="1"/>
    <col min="12812" max="12812" width="0" style="1" hidden="1" customWidth="1"/>
    <col min="12813" max="12813" width="14.5703125" style="1" customWidth="1"/>
    <col min="12814" max="12814" width="12.140625" style="1" customWidth="1"/>
    <col min="12815" max="12815" width="13.85546875" style="1" customWidth="1"/>
    <col min="12816" max="12816" width="15.28515625" style="1" customWidth="1"/>
    <col min="12817" max="12817" width="11.7109375" style="1" customWidth="1"/>
    <col min="12818" max="12818" width="8.85546875" style="1" customWidth="1"/>
    <col min="12819" max="12819" width="12" style="1" customWidth="1"/>
    <col min="12820" max="12825" width="0" style="1" hidden="1" customWidth="1"/>
    <col min="12826" max="12826" width="9.42578125" style="1" customWidth="1"/>
    <col min="12827" max="12827" width="12.140625" style="1" customWidth="1"/>
    <col min="12828" max="12828" width="11.42578125" style="1" customWidth="1"/>
    <col min="12829" max="12829" width="11.28515625" style="1" bestFit="1" customWidth="1"/>
    <col min="12830" max="12830" width="10.85546875" style="1" customWidth="1"/>
    <col min="12831" max="12831" width="11.5703125" style="1" customWidth="1"/>
    <col min="12832" max="12832" width="0" style="1" hidden="1" customWidth="1"/>
    <col min="12833" max="12833" width="8" style="1" customWidth="1"/>
    <col min="12834" max="12834" width="7.28515625" style="1" customWidth="1"/>
    <col min="12835" max="12835" width="18.7109375" style="1" customWidth="1"/>
    <col min="12836" max="12836" width="14.140625" style="1" customWidth="1"/>
    <col min="12837" max="12837" width="11.7109375" style="1" bestFit="1" customWidth="1"/>
    <col min="12838" max="12838" width="10.140625" style="1" bestFit="1" customWidth="1"/>
    <col min="12839" max="13055" width="9" style="1"/>
    <col min="13056" max="13056" width="4.7109375" style="1" customWidth="1"/>
    <col min="13057" max="13057" width="8.140625" style="1" customWidth="1"/>
    <col min="13058" max="13058" width="16" style="1" customWidth="1"/>
    <col min="13059" max="13059" width="13.28515625" style="1" customWidth="1"/>
    <col min="13060" max="13060" width="87.7109375" style="1" customWidth="1"/>
    <col min="13061" max="13061" width="8.28515625" style="1" customWidth="1"/>
    <col min="13062" max="13062" width="0" style="1" hidden="1" customWidth="1"/>
    <col min="13063" max="13063" width="11.5703125" style="1" customWidth="1"/>
    <col min="13064" max="13064" width="11.42578125" style="1" customWidth="1"/>
    <col min="13065" max="13065" width="14.5703125" style="1" customWidth="1"/>
    <col min="13066" max="13066" width="13.5703125" style="1" customWidth="1"/>
    <col min="13067" max="13067" width="14.85546875" style="1" customWidth="1"/>
    <col min="13068" max="13068" width="0" style="1" hidden="1" customWidth="1"/>
    <col min="13069" max="13069" width="14.5703125" style="1" customWidth="1"/>
    <col min="13070" max="13070" width="12.140625" style="1" customWidth="1"/>
    <col min="13071" max="13071" width="13.85546875" style="1" customWidth="1"/>
    <col min="13072" max="13072" width="15.28515625" style="1" customWidth="1"/>
    <col min="13073" max="13073" width="11.7109375" style="1" customWidth="1"/>
    <col min="13074" max="13074" width="8.85546875" style="1" customWidth="1"/>
    <col min="13075" max="13075" width="12" style="1" customWidth="1"/>
    <col min="13076" max="13081" width="0" style="1" hidden="1" customWidth="1"/>
    <col min="13082" max="13082" width="9.42578125" style="1" customWidth="1"/>
    <col min="13083" max="13083" width="12.140625" style="1" customWidth="1"/>
    <col min="13084" max="13084" width="11.42578125" style="1" customWidth="1"/>
    <col min="13085" max="13085" width="11.28515625" style="1" bestFit="1" customWidth="1"/>
    <col min="13086" max="13086" width="10.85546875" style="1" customWidth="1"/>
    <col min="13087" max="13087" width="11.5703125" style="1" customWidth="1"/>
    <col min="13088" max="13088" width="0" style="1" hidden="1" customWidth="1"/>
    <col min="13089" max="13089" width="8" style="1" customWidth="1"/>
    <col min="13090" max="13090" width="7.28515625" style="1" customWidth="1"/>
    <col min="13091" max="13091" width="18.7109375" style="1" customWidth="1"/>
    <col min="13092" max="13092" width="14.140625" style="1" customWidth="1"/>
    <col min="13093" max="13093" width="11.7109375" style="1" bestFit="1" customWidth="1"/>
    <col min="13094" max="13094" width="10.140625" style="1" bestFit="1" customWidth="1"/>
    <col min="13095" max="13311" width="9" style="1"/>
    <col min="13312" max="13312" width="4.7109375" style="1" customWidth="1"/>
    <col min="13313" max="13313" width="8.140625" style="1" customWidth="1"/>
    <col min="13314" max="13314" width="16" style="1" customWidth="1"/>
    <col min="13315" max="13315" width="13.28515625" style="1" customWidth="1"/>
    <col min="13316" max="13316" width="87.7109375" style="1" customWidth="1"/>
    <col min="13317" max="13317" width="8.28515625" style="1" customWidth="1"/>
    <col min="13318" max="13318" width="0" style="1" hidden="1" customWidth="1"/>
    <col min="13319" max="13319" width="11.5703125" style="1" customWidth="1"/>
    <col min="13320" max="13320" width="11.42578125" style="1" customWidth="1"/>
    <col min="13321" max="13321" width="14.5703125" style="1" customWidth="1"/>
    <col min="13322" max="13322" width="13.5703125" style="1" customWidth="1"/>
    <col min="13323" max="13323" width="14.85546875" style="1" customWidth="1"/>
    <col min="13324" max="13324" width="0" style="1" hidden="1" customWidth="1"/>
    <col min="13325" max="13325" width="14.5703125" style="1" customWidth="1"/>
    <col min="13326" max="13326" width="12.140625" style="1" customWidth="1"/>
    <col min="13327" max="13327" width="13.85546875" style="1" customWidth="1"/>
    <col min="13328" max="13328" width="15.28515625" style="1" customWidth="1"/>
    <col min="13329" max="13329" width="11.7109375" style="1" customWidth="1"/>
    <col min="13330" max="13330" width="8.85546875" style="1" customWidth="1"/>
    <col min="13331" max="13331" width="12" style="1" customWidth="1"/>
    <col min="13332" max="13337" width="0" style="1" hidden="1" customWidth="1"/>
    <col min="13338" max="13338" width="9.42578125" style="1" customWidth="1"/>
    <col min="13339" max="13339" width="12.140625" style="1" customWidth="1"/>
    <col min="13340" max="13340" width="11.42578125" style="1" customWidth="1"/>
    <col min="13341" max="13341" width="11.28515625" style="1" bestFit="1" customWidth="1"/>
    <col min="13342" max="13342" width="10.85546875" style="1" customWidth="1"/>
    <col min="13343" max="13343" width="11.5703125" style="1" customWidth="1"/>
    <col min="13344" max="13344" width="0" style="1" hidden="1" customWidth="1"/>
    <col min="13345" max="13345" width="8" style="1" customWidth="1"/>
    <col min="13346" max="13346" width="7.28515625" style="1" customWidth="1"/>
    <col min="13347" max="13347" width="18.7109375" style="1" customWidth="1"/>
    <col min="13348" max="13348" width="14.140625" style="1" customWidth="1"/>
    <col min="13349" max="13349" width="11.7109375" style="1" bestFit="1" customWidth="1"/>
    <col min="13350" max="13350" width="10.140625" style="1" bestFit="1" customWidth="1"/>
    <col min="13351" max="13567" width="9" style="1"/>
    <col min="13568" max="13568" width="4.7109375" style="1" customWidth="1"/>
    <col min="13569" max="13569" width="8.140625" style="1" customWidth="1"/>
    <col min="13570" max="13570" width="16" style="1" customWidth="1"/>
    <col min="13571" max="13571" width="13.28515625" style="1" customWidth="1"/>
    <col min="13572" max="13572" width="87.7109375" style="1" customWidth="1"/>
    <col min="13573" max="13573" width="8.28515625" style="1" customWidth="1"/>
    <col min="13574" max="13574" width="0" style="1" hidden="1" customWidth="1"/>
    <col min="13575" max="13575" width="11.5703125" style="1" customWidth="1"/>
    <col min="13576" max="13576" width="11.42578125" style="1" customWidth="1"/>
    <col min="13577" max="13577" width="14.5703125" style="1" customWidth="1"/>
    <col min="13578" max="13578" width="13.5703125" style="1" customWidth="1"/>
    <col min="13579" max="13579" width="14.85546875" style="1" customWidth="1"/>
    <col min="13580" max="13580" width="0" style="1" hidden="1" customWidth="1"/>
    <col min="13581" max="13581" width="14.5703125" style="1" customWidth="1"/>
    <col min="13582" max="13582" width="12.140625" style="1" customWidth="1"/>
    <col min="13583" max="13583" width="13.85546875" style="1" customWidth="1"/>
    <col min="13584" max="13584" width="15.28515625" style="1" customWidth="1"/>
    <col min="13585" max="13585" width="11.7109375" style="1" customWidth="1"/>
    <col min="13586" max="13586" width="8.85546875" style="1" customWidth="1"/>
    <col min="13587" max="13587" width="12" style="1" customWidth="1"/>
    <col min="13588" max="13593" width="0" style="1" hidden="1" customWidth="1"/>
    <col min="13594" max="13594" width="9.42578125" style="1" customWidth="1"/>
    <col min="13595" max="13595" width="12.140625" style="1" customWidth="1"/>
    <col min="13596" max="13596" width="11.42578125" style="1" customWidth="1"/>
    <col min="13597" max="13597" width="11.28515625" style="1" bestFit="1" customWidth="1"/>
    <col min="13598" max="13598" width="10.85546875" style="1" customWidth="1"/>
    <col min="13599" max="13599" width="11.5703125" style="1" customWidth="1"/>
    <col min="13600" max="13600" width="0" style="1" hidden="1" customWidth="1"/>
    <col min="13601" max="13601" width="8" style="1" customWidth="1"/>
    <col min="13602" max="13602" width="7.28515625" style="1" customWidth="1"/>
    <col min="13603" max="13603" width="18.7109375" style="1" customWidth="1"/>
    <col min="13604" max="13604" width="14.140625" style="1" customWidth="1"/>
    <col min="13605" max="13605" width="11.7109375" style="1" bestFit="1" customWidth="1"/>
    <col min="13606" max="13606" width="10.140625" style="1" bestFit="1" customWidth="1"/>
    <col min="13607" max="13823" width="9" style="1"/>
    <col min="13824" max="13824" width="4.7109375" style="1" customWidth="1"/>
    <col min="13825" max="13825" width="8.140625" style="1" customWidth="1"/>
    <col min="13826" max="13826" width="16" style="1" customWidth="1"/>
    <col min="13827" max="13827" width="13.28515625" style="1" customWidth="1"/>
    <col min="13828" max="13828" width="87.7109375" style="1" customWidth="1"/>
    <col min="13829" max="13829" width="8.28515625" style="1" customWidth="1"/>
    <col min="13830" max="13830" width="0" style="1" hidden="1" customWidth="1"/>
    <col min="13831" max="13831" width="11.5703125" style="1" customWidth="1"/>
    <col min="13832" max="13832" width="11.42578125" style="1" customWidth="1"/>
    <col min="13833" max="13833" width="14.5703125" style="1" customWidth="1"/>
    <col min="13834" max="13834" width="13.5703125" style="1" customWidth="1"/>
    <col min="13835" max="13835" width="14.85546875" style="1" customWidth="1"/>
    <col min="13836" max="13836" width="0" style="1" hidden="1" customWidth="1"/>
    <col min="13837" max="13837" width="14.5703125" style="1" customWidth="1"/>
    <col min="13838" max="13838" width="12.140625" style="1" customWidth="1"/>
    <col min="13839" max="13839" width="13.85546875" style="1" customWidth="1"/>
    <col min="13840" max="13840" width="15.28515625" style="1" customWidth="1"/>
    <col min="13841" max="13841" width="11.7109375" style="1" customWidth="1"/>
    <col min="13842" max="13842" width="8.85546875" style="1" customWidth="1"/>
    <col min="13843" max="13843" width="12" style="1" customWidth="1"/>
    <col min="13844" max="13849" width="0" style="1" hidden="1" customWidth="1"/>
    <col min="13850" max="13850" width="9.42578125" style="1" customWidth="1"/>
    <col min="13851" max="13851" width="12.140625" style="1" customWidth="1"/>
    <col min="13852" max="13852" width="11.42578125" style="1" customWidth="1"/>
    <col min="13853" max="13853" width="11.28515625" style="1" bestFit="1" customWidth="1"/>
    <col min="13854" max="13854" width="10.85546875" style="1" customWidth="1"/>
    <col min="13855" max="13855" width="11.5703125" style="1" customWidth="1"/>
    <col min="13856" max="13856" width="0" style="1" hidden="1" customWidth="1"/>
    <col min="13857" max="13857" width="8" style="1" customWidth="1"/>
    <col min="13858" max="13858" width="7.28515625" style="1" customWidth="1"/>
    <col min="13859" max="13859" width="18.7109375" style="1" customWidth="1"/>
    <col min="13860" max="13860" width="14.140625" style="1" customWidth="1"/>
    <col min="13861" max="13861" width="11.7109375" style="1" bestFit="1" customWidth="1"/>
    <col min="13862" max="13862" width="10.140625" style="1" bestFit="1" customWidth="1"/>
    <col min="13863" max="14079" width="9" style="1"/>
    <col min="14080" max="14080" width="4.7109375" style="1" customWidth="1"/>
    <col min="14081" max="14081" width="8.140625" style="1" customWidth="1"/>
    <col min="14082" max="14082" width="16" style="1" customWidth="1"/>
    <col min="14083" max="14083" width="13.28515625" style="1" customWidth="1"/>
    <col min="14084" max="14084" width="87.7109375" style="1" customWidth="1"/>
    <col min="14085" max="14085" width="8.28515625" style="1" customWidth="1"/>
    <col min="14086" max="14086" width="0" style="1" hidden="1" customWidth="1"/>
    <col min="14087" max="14087" width="11.5703125" style="1" customWidth="1"/>
    <col min="14088" max="14088" width="11.42578125" style="1" customWidth="1"/>
    <col min="14089" max="14089" width="14.5703125" style="1" customWidth="1"/>
    <col min="14090" max="14090" width="13.5703125" style="1" customWidth="1"/>
    <col min="14091" max="14091" width="14.85546875" style="1" customWidth="1"/>
    <col min="14092" max="14092" width="0" style="1" hidden="1" customWidth="1"/>
    <col min="14093" max="14093" width="14.5703125" style="1" customWidth="1"/>
    <col min="14094" max="14094" width="12.140625" style="1" customWidth="1"/>
    <col min="14095" max="14095" width="13.85546875" style="1" customWidth="1"/>
    <col min="14096" max="14096" width="15.28515625" style="1" customWidth="1"/>
    <col min="14097" max="14097" width="11.7109375" style="1" customWidth="1"/>
    <col min="14098" max="14098" width="8.85546875" style="1" customWidth="1"/>
    <col min="14099" max="14099" width="12" style="1" customWidth="1"/>
    <col min="14100" max="14105" width="0" style="1" hidden="1" customWidth="1"/>
    <col min="14106" max="14106" width="9.42578125" style="1" customWidth="1"/>
    <col min="14107" max="14107" width="12.140625" style="1" customWidth="1"/>
    <col min="14108" max="14108" width="11.42578125" style="1" customWidth="1"/>
    <col min="14109" max="14109" width="11.28515625" style="1" bestFit="1" customWidth="1"/>
    <col min="14110" max="14110" width="10.85546875" style="1" customWidth="1"/>
    <col min="14111" max="14111" width="11.5703125" style="1" customWidth="1"/>
    <col min="14112" max="14112" width="0" style="1" hidden="1" customWidth="1"/>
    <col min="14113" max="14113" width="8" style="1" customWidth="1"/>
    <col min="14114" max="14114" width="7.28515625" style="1" customWidth="1"/>
    <col min="14115" max="14115" width="18.7109375" style="1" customWidth="1"/>
    <col min="14116" max="14116" width="14.140625" style="1" customWidth="1"/>
    <col min="14117" max="14117" width="11.7109375" style="1" bestFit="1" customWidth="1"/>
    <col min="14118" max="14118" width="10.140625" style="1" bestFit="1" customWidth="1"/>
    <col min="14119" max="14335" width="9" style="1"/>
    <col min="14336" max="14336" width="4.7109375" style="1" customWidth="1"/>
    <col min="14337" max="14337" width="8.140625" style="1" customWidth="1"/>
    <col min="14338" max="14338" width="16" style="1" customWidth="1"/>
    <col min="14339" max="14339" width="13.28515625" style="1" customWidth="1"/>
    <col min="14340" max="14340" width="87.7109375" style="1" customWidth="1"/>
    <col min="14341" max="14341" width="8.28515625" style="1" customWidth="1"/>
    <col min="14342" max="14342" width="0" style="1" hidden="1" customWidth="1"/>
    <col min="14343" max="14343" width="11.5703125" style="1" customWidth="1"/>
    <col min="14344" max="14344" width="11.42578125" style="1" customWidth="1"/>
    <col min="14345" max="14345" width="14.5703125" style="1" customWidth="1"/>
    <col min="14346" max="14346" width="13.5703125" style="1" customWidth="1"/>
    <col min="14347" max="14347" width="14.85546875" style="1" customWidth="1"/>
    <col min="14348" max="14348" width="0" style="1" hidden="1" customWidth="1"/>
    <col min="14349" max="14349" width="14.5703125" style="1" customWidth="1"/>
    <col min="14350" max="14350" width="12.140625" style="1" customWidth="1"/>
    <col min="14351" max="14351" width="13.85546875" style="1" customWidth="1"/>
    <col min="14352" max="14352" width="15.28515625" style="1" customWidth="1"/>
    <col min="14353" max="14353" width="11.7109375" style="1" customWidth="1"/>
    <col min="14354" max="14354" width="8.85546875" style="1" customWidth="1"/>
    <col min="14355" max="14355" width="12" style="1" customWidth="1"/>
    <col min="14356" max="14361" width="0" style="1" hidden="1" customWidth="1"/>
    <col min="14362" max="14362" width="9.42578125" style="1" customWidth="1"/>
    <col min="14363" max="14363" width="12.140625" style="1" customWidth="1"/>
    <col min="14364" max="14364" width="11.42578125" style="1" customWidth="1"/>
    <col min="14365" max="14365" width="11.28515625" style="1" bestFit="1" customWidth="1"/>
    <col min="14366" max="14366" width="10.85546875" style="1" customWidth="1"/>
    <col min="14367" max="14367" width="11.5703125" style="1" customWidth="1"/>
    <col min="14368" max="14368" width="0" style="1" hidden="1" customWidth="1"/>
    <col min="14369" max="14369" width="8" style="1" customWidth="1"/>
    <col min="14370" max="14370" width="7.28515625" style="1" customWidth="1"/>
    <col min="14371" max="14371" width="18.7109375" style="1" customWidth="1"/>
    <col min="14372" max="14372" width="14.140625" style="1" customWidth="1"/>
    <col min="14373" max="14373" width="11.7109375" style="1" bestFit="1" customWidth="1"/>
    <col min="14374" max="14374" width="10.140625" style="1" bestFit="1" customWidth="1"/>
    <col min="14375" max="14591" width="9" style="1"/>
    <col min="14592" max="14592" width="4.7109375" style="1" customWidth="1"/>
    <col min="14593" max="14593" width="8.140625" style="1" customWidth="1"/>
    <col min="14594" max="14594" width="16" style="1" customWidth="1"/>
    <col min="14595" max="14595" width="13.28515625" style="1" customWidth="1"/>
    <col min="14596" max="14596" width="87.7109375" style="1" customWidth="1"/>
    <col min="14597" max="14597" width="8.28515625" style="1" customWidth="1"/>
    <col min="14598" max="14598" width="0" style="1" hidden="1" customWidth="1"/>
    <col min="14599" max="14599" width="11.5703125" style="1" customWidth="1"/>
    <col min="14600" max="14600" width="11.42578125" style="1" customWidth="1"/>
    <col min="14601" max="14601" width="14.5703125" style="1" customWidth="1"/>
    <col min="14602" max="14602" width="13.5703125" style="1" customWidth="1"/>
    <col min="14603" max="14603" width="14.85546875" style="1" customWidth="1"/>
    <col min="14604" max="14604" width="0" style="1" hidden="1" customWidth="1"/>
    <col min="14605" max="14605" width="14.5703125" style="1" customWidth="1"/>
    <col min="14606" max="14606" width="12.140625" style="1" customWidth="1"/>
    <col min="14607" max="14607" width="13.85546875" style="1" customWidth="1"/>
    <col min="14608" max="14608" width="15.28515625" style="1" customWidth="1"/>
    <col min="14609" max="14609" width="11.7109375" style="1" customWidth="1"/>
    <col min="14610" max="14610" width="8.85546875" style="1" customWidth="1"/>
    <col min="14611" max="14611" width="12" style="1" customWidth="1"/>
    <col min="14612" max="14617" width="0" style="1" hidden="1" customWidth="1"/>
    <col min="14618" max="14618" width="9.42578125" style="1" customWidth="1"/>
    <col min="14619" max="14619" width="12.140625" style="1" customWidth="1"/>
    <col min="14620" max="14620" width="11.42578125" style="1" customWidth="1"/>
    <col min="14621" max="14621" width="11.28515625" style="1" bestFit="1" customWidth="1"/>
    <col min="14622" max="14622" width="10.85546875" style="1" customWidth="1"/>
    <col min="14623" max="14623" width="11.5703125" style="1" customWidth="1"/>
    <col min="14624" max="14624" width="0" style="1" hidden="1" customWidth="1"/>
    <col min="14625" max="14625" width="8" style="1" customWidth="1"/>
    <col min="14626" max="14626" width="7.28515625" style="1" customWidth="1"/>
    <col min="14627" max="14627" width="18.7109375" style="1" customWidth="1"/>
    <col min="14628" max="14628" width="14.140625" style="1" customWidth="1"/>
    <col min="14629" max="14629" width="11.7109375" style="1" bestFit="1" customWidth="1"/>
    <col min="14630" max="14630" width="10.140625" style="1" bestFit="1" customWidth="1"/>
    <col min="14631" max="14847" width="9" style="1"/>
    <col min="14848" max="14848" width="4.7109375" style="1" customWidth="1"/>
    <col min="14849" max="14849" width="8.140625" style="1" customWidth="1"/>
    <col min="14850" max="14850" width="16" style="1" customWidth="1"/>
    <col min="14851" max="14851" width="13.28515625" style="1" customWidth="1"/>
    <col min="14852" max="14852" width="87.7109375" style="1" customWidth="1"/>
    <col min="14853" max="14853" width="8.28515625" style="1" customWidth="1"/>
    <col min="14854" max="14854" width="0" style="1" hidden="1" customWidth="1"/>
    <col min="14855" max="14855" width="11.5703125" style="1" customWidth="1"/>
    <col min="14856" max="14856" width="11.42578125" style="1" customWidth="1"/>
    <col min="14857" max="14857" width="14.5703125" style="1" customWidth="1"/>
    <col min="14858" max="14858" width="13.5703125" style="1" customWidth="1"/>
    <col min="14859" max="14859" width="14.85546875" style="1" customWidth="1"/>
    <col min="14860" max="14860" width="0" style="1" hidden="1" customWidth="1"/>
    <col min="14861" max="14861" width="14.5703125" style="1" customWidth="1"/>
    <col min="14862" max="14862" width="12.140625" style="1" customWidth="1"/>
    <col min="14863" max="14863" width="13.85546875" style="1" customWidth="1"/>
    <col min="14864" max="14864" width="15.28515625" style="1" customWidth="1"/>
    <col min="14865" max="14865" width="11.7109375" style="1" customWidth="1"/>
    <col min="14866" max="14866" width="8.85546875" style="1" customWidth="1"/>
    <col min="14867" max="14867" width="12" style="1" customWidth="1"/>
    <col min="14868" max="14873" width="0" style="1" hidden="1" customWidth="1"/>
    <col min="14874" max="14874" width="9.42578125" style="1" customWidth="1"/>
    <col min="14875" max="14875" width="12.140625" style="1" customWidth="1"/>
    <col min="14876" max="14876" width="11.42578125" style="1" customWidth="1"/>
    <col min="14877" max="14877" width="11.28515625" style="1" bestFit="1" customWidth="1"/>
    <col min="14878" max="14878" width="10.85546875" style="1" customWidth="1"/>
    <col min="14879" max="14879" width="11.5703125" style="1" customWidth="1"/>
    <col min="14880" max="14880" width="0" style="1" hidden="1" customWidth="1"/>
    <col min="14881" max="14881" width="8" style="1" customWidth="1"/>
    <col min="14882" max="14882" width="7.28515625" style="1" customWidth="1"/>
    <col min="14883" max="14883" width="18.7109375" style="1" customWidth="1"/>
    <col min="14884" max="14884" width="14.140625" style="1" customWidth="1"/>
    <col min="14885" max="14885" width="11.7109375" style="1" bestFit="1" customWidth="1"/>
    <col min="14886" max="14886" width="10.140625" style="1" bestFit="1" customWidth="1"/>
    <col min="14887" max="15103" width="9" style="1"/>
    <col min="15104" max="15104" width="4.7109375" style="1" customWidth="1"/>
    <col min="15105" max="15105" width="8.140625" style="1" customWidth="1"/>
    <col min="15106" max="15106" width="16" style="1" customWidth="1"/>
    <col min="15107" max="15107" width="13.28515625" style="1" customWidth="1"/>
    <col min="15108" max="15108" width="87.7109375" style="1" customWidth="1"/>
    <col min="15109" max="15109" width="8.28515625" style="1" customWidth="1"/>
    <col min="15110" max="15110" width="0" style="1" hidden="1" customWidth="1"/>
    <col min="15111" max="15111" width="11.5703125" style="1" customWidth="1"/>
    <col min="15112" max="15112" width="11.42578125" style="1" customWidth="1"/>
    <col min="15113" max="15113" width="14.5703125" style="1" customWidth="1"/>
    <col min="15114" max="15114" width="13.5703125" style="1" customWidth="1"/>
    <col min="15115" max="15115" width="14.85546875" style="1" customWidth="1"/>
    <col min="15116" max="15116" width="0" style="1" hidden="1" customWidth="1"/>
    <col min="15117" max="15117" width="14.5703125" style="1" customWidth="1"/>
    <col min="15118" max="15118" width="12.140625" style="1" customWidth="1"/>
    <col min="15119" max="15119" width="13.85546875" style="1" customWidth="1"/>
    <col min="15120" max="15120" width="15.28515625" style="1" customWidth="1"/>
    <col min="15121" max="15121" width="11.7109375" style="1" customWidth="1"/>
    <col min="15122" max="15122" width="8.85546875" style="1" customWidth="1"/>
    <col min="15123" max="15123" width="12" style="1" customWidth="1"/>
    <col min="15124" max="15129" width="0" style="1" hidden="1" customWidth="1"/>
    <col min="15130" max="15130" width="9.42578125" style="1" customWidth="1"/>
    <col min="15131" max="15131" width="12.140625" style="1" customWidth="1"/>
    <col min="15132" max="15132" width="11.42578125" style="1" customWidth="1"/>
    <col min="15133" max="15133" width="11.28515625" style="1" bestFit="1" customWidth="1"/>
    <col min="15134" max="15134" width="10.85546875" style="1" customWidth="1"/>
    <col min="15135" max="15135" width="11.5703125" style="1" customWidth="1"/>
    <col min="15136" max="15136" width="0" style="1" hidden="1" customWidth="1"/>
    <col min="15137" max="15137" width="8" style="1" customWidth="1"/>
    <col min="15138" max="15138" width="7.28515625" style="1" customWidth="1"/>
    <col min="15139" max="15139" width="18.7109375" style="1" customWidth="1"/>
    <col min="15140" max="15140" width="14.140625" style="1" customWidth="1"/>
    <col min="15141" max="15141" width="11.7109375" style="1" bestFit="1" customWidth="1"/>
    <col min="15142" max="15142" width="10.140625" style="1" bestFit="1" customWidth="1"/>
    <col min="15143" max="15359" width="9" style="1"/>
    <col min="15360" max="15360" width="4.7109375" style="1" customWidth="1"/>
    <col min="15361" max="15361" width="8.140625" style="1" customWidth="1"/>
    <col min="15362" max="15362" width="16" style="1" customWidth="1"/>
    <col min="15363" max="15363" width="13.28515625" style="1" customWidth="1"/>
    <col min="15364" max="15364" width="87.7109375" style="1" customWidth="1"/>
    <col min="15365" max="15365" width="8.28515625" style="1" customWidth="1"/>
    <col min="15366" max="15366" width="0" style="1" hidden="1" customWidth="1"/>
    <col min="15367" max="15367" width="11.5703125" style="1" customWidth="1"/>
    <col min="15368" max="15368" width="11.42578125" style="1" customWidth="1"/>
    <col min="15369" max="15369" width="14.5703125" style="1" customWidth="1"/>
    <col min="15370" max="15370" width="13.5703125" style="1" customWidth="1"/>
    <col min="15371" max="15371" width="14.85546875" style="1" customWidth="1"/>
    <col min="15372" max="15372" width="0" style="1" hidden="1" customWidth="1"/>
    <col min="15373" max="15373" width="14.5703125" style="1" customWidth="1"/>
    <col min="15374" max="15374" width="12.140625" style="1" customWidth="1"/>
    <col min="15375" max="15375" width="13.85546875" style="1" customWidth="1"/>
    <col min="15376" max="15376" width="15.28515625" style="1" customWidth="1"/>
    <col min="15377" max="15377" width="11.7109375" style="1" customWidth="1"/>
    <col min="15378" max="15378" width="8.85546875" style="1" customWidth="1"/>
    <col min="15379" max="15379" width="12" style="1" customWidth="1"/>
    <col min="15380" max="15385" width="0" style="1" hidden="1" customWidth="1"/>
    <col min="15386" max="15386" width="9.42578125" style="1" customWidth="1"/>
    <col min="15387" max="15387" width="12.140625" style="1" customWidth="1"/>
    <col min="15388" max="15388" width="11.42578125" style="1" customWidth="1"/>
    <col min="15389" max="15389" width="11.28515625" style="1" bestFit="1" customWidth="1"/>
    <col min="15390" max="15390" width="10.85546875" style="1" customWidth="1"/>
    <col min="15391" max="15391" width="11.5703125" style="1" customWidth="1"/>
    <col min="15392" max="15392" width="0" style="1" hidden="1" customWidth="1"/>
    <col min="15393" max="15393" width="8" style="1" customWidth="1"/>
    <col min="15394" max="15394" width="7.28515625" style="1" customWidth="1"/>
    <col min="15395" max="15395" width="18.7109375" style="1" customWidth="1"/>
    <col min="15396" max="15396" width="14.140625" style="1" customWidth="1"/>
    <col min="15397" max="15397" width="11.7109375" style="1" bestFit="1" customWidth="1"/>
    <col min="15398" max="15398" width="10.140625" style="1" bestFit="1" customWidth="1"/>
    <col min="15399" max="15615" width="9" style="1"/>
    <col min="15616" max="15616" width="4.7109375" style="1" customWidth="1"/>
    <col min="15617" max="15617" width="8.140625" style="1" customWidth="1"/>
    <col min="15618" max="15618" width="16" style="1" customWidth="1"/>
    <col min="15619" max="15619" width="13.28515625" style="1" customWidth="1"/>
    <col min="15620" max="15620" width="87.7109375" style="1" customWidth="1"/>
    <col min="15621" max="15621" width="8.28515625" style="1" customWidth="1"/>
    <col min="15622" max="15622" width="0" style="1" hidden="1" customWidth="1"/>
    <col min="15623" max="15623" width="11.5703125" style="1" customWidth="1"/>
    <col min="15624" max="15624" width="11.42578125" style="1" customWidth="1"/>
    <col min="15625" max="15625" width="14.5703125" style="1" customWidth="1"/>
    <col min="15626" max="15626" width="13.5703125" style="1" customWidth="1"/>
    <col min="15627" max="15627" width="14.85546875" style="1" customWidth="1"/>
    <col min="15628" max="15628" width="0" style="1" hidden="1" customWidth="1"/>
    <col min="15629" max="15629" width="14.5703125" style="1" customWidth="1"/>
    <col min="15630" max="15630" width="12.140625" style="1" customWidth="1"/>
    <col min="15631" max="15631" width="13.85546875" style="1" customWidth="1"/>
    <col min="15632" max="15632" width="15.28515625" style="1" customWidth="1"/>
    <col min="15633" max="15633" width="11.7109375" style="1" customWidth="1"/>
    <col min="15634" max="15634" width="8.85546875" style="1" customWidth="1"/>
    <col min="15635" max="15635" width="12" style="1" customWidth="1"/>
    <col min="15636" max="15641" width="0" style="1" hidden="1" customWidth="1"/>
    <col min="15642" max="15642" width="9.42578125" style="1" customWidth="1"/>
    <col min="15643" max="15643" width="12.140625" style="1" customWidth="1"/>
    <col min="15644" max="15644" width="11.42578125" style="1" customWidth="1"/>
    <col min="15645" max="15645" width="11.28515625" style="1" bestFit="1" customWidth="1"/>
    <col min="15646" max="15646" width="10.85546875" style="1" customWidth="1"/>
    <col min="15647" max="15647" width="11.5703125" style="1" customWidth="1"/>
    <col min="15648" max="15648" width="0" style="1" hidden="1" customWidth="1"/>
    <col min="15649" max="15649" width="8" style="1" customWidth="1"/>
    <col min="15650" max="15650" width="7.28515625" style="1" customWidth="1"/>
    <col min="15651" max="15651" width="18.7109375" style="1" customWidth="1"/>
    <col min="15652" max="15652" width="14.140625" style="1" customWidth="1"/>
    <col min="15653" max="15653" width="11.7109375" style="1" bestFit="1" customWidth="1"/>
    <col min="15654" max="15654" width="10.140625" style="1" bestFit="1" customWidth="1"/>
    <col min="15655" max="15871" width="9" style="1"/>
    <col min="15872" max="15872" width="4.7109375" style="1" customWidth="1"/>
    <col min="15873" max="15873" width="8.140625" style="1" customWidth="1"/>
    <col min="15874" max="15874" width="16" style="1" customWidth="1"/>
    <col min="15875" max="15875" width="13.28515625" style="1" customWidth="1"/>
    <col min="15876" max="15876" width="87.7109375" style="1" customWidth="1"/>
    <col min="15877" max="15877" width="8.28515625" style="1" customWidth="1"/>
    <col min="15878" max="15878" width="0" style="1" hidden="1" customWidth="1"/>
    <col min="15879" max="15879" width="11.5703125" style="1" customWidth="1"/>
    <col min="15880" max="15880" width="11.42578125" style="1" customWidth="1"/>
    <col min="15881" max="15881" width="14.5703125" style="1" customWidth="1"/>
    <col min="15882" max="15882" width="13.5703125" style="1" customWidth="1"/>
    <col min="15883" max="15883" width="14.85546875" style="1" customWidth="1"/>
    <col min="15884" max="15884" width="0" style="1" hidden="1" customWidth="1"/>
    <col min="15885" max="15885" width="14.5703125" style="1" customWidth="1"/>
    <col min="15886" max="15886" width="12.140625" style="1" customWidth="1"/>
    <col min="15887" max="15887" width="13.85546875" style="1" customWidth="1"/>
    <col min="15888" max="15888" width="15.28515625" style="1" customWidth="1"/>
    <col min="15889" max="15889" width="11.7109375" style="1" customWidth="1"/>
    <col min="15890" max="15890" width="8.85546875" style="1" customWidth="1"/>
    <col min="15891" max="15891" width="12" style="1" customWidth="1"/>
    <col min="15892" max="15897" width="0" style="1" hidden="1" customWidth="1"/>
    <col min="15898" max="15898" width="9.42578125" style="1" customWidth="1"/>
    <col min="15899" max="15899" width="12.140625" style="1" customWidth="1"/>
    <col min="15900" max="15900" width="11.42578125" style="1" customWidth="1"/>
    <col min="15901" max="15901" width="11.28515625" style="1" bestFit="1" customWidth="1"/>
    <col min="15902" max="15902" width="10.85546875" style="1" customWidth="1"/>
    <col min="15903" max="15903" width="11.5703125" style="1" customWidth="1"/>
    <col min="15904" max="15904" width="0" style="1" hidden="1" customWidth="1"/>
    <col min="15905" max="15905" width="8" style="1" customWidth="1"/>
    <col min="15906" max="15906" width="7.28515625" style="1" customWidth="1"/>
    <col min="15907" max="15907" width="18.7109375" style="1" customWidth="1"/>
    <col min="15908" max="15908" width="14.140625" style="1" customWidth="1"/>
    <col min="15909" max="15909" width="11.7109375" style="1" bestFit="1" customWidth="1"/>
    <col min="15910" max="15910" width="10.140625" style="1" bestFit="1" customWidth="1"/>
    <col min="15911" max="16127" width="9" style="1"/>
    <col min="16128" max="16128" width="4.7109375" style="1" customWidth="1"/>
    <col min="16129" max="16129" width="8.140625" style="1" customWidth="1"/>
    <col min="16130" max="16130" width="16" style="1" customWidth="1"/>
    <col min="16131" max="16131" width="13.28515625" style="1" customWidth="1"/>
    <col min="16132" max="16132" width="87.7109375" style="1" customWidth="1"/>
    <col min="16133" max="16133" width="8.28515625" style="1" customWidth="1"/>
    <col min="16134" max="16134" width="0" style="1" hidden="1" customWidth="1"/>
    <col min="16135" max="16135" width="11.5703125" style="1" customWidth="1"/>
    <col min="16136" max="16136" width="11.42578125" style="1" customWidth="1"/>
    <col min="16137" max="16137" width="14.5703125" style="1" customWidth="1"/>
    <col min="16138" max="16138" width="13.5703125" style="1" customWidth="1"/>
    <col min="16139" max="16139" width="14.85546875" style="1" customWidth="1"/>
    <col min="16140" max="16140" width="0" style="1" hidden="1" customWidth="1"/>
    <col min="16141" max="16141" width="14.5703125" style="1" customWidth="1"/>
    <col min="16142" max="16142" width="12.140625" style="1" customWidth="1"/>
    <col min="16143" max="16143" width="13.85546875" style="1" customWidth="1"/>
    <col min="16144" max="16144" width="15.28515625" style="1" customWidth="1"/>
    <col min="16145" max="16145" width="11.7109375" style="1" customWidth="1"/>
    <col min="16146" max="16146" width="8.85546875" style="1" customWidth="1"/>
    <col min="16147" max="16147" width="12" style="1" customWidth="1"/>
    <col min="16148" max="16153" width="0" style="1" hidden="1" customWidth="1"/>
    <col min="16154" max="16154" width="9.42578125" style="1" customWidth="1"/>
    <col min="16155" max="16155" width="12.140625" style="1" customWidth="1"/>
    <col min="16156" max="16156" width="11.42578125" style="1" customWidth="1"/>
    <col min="16157" max="16157" width="11.28515625" style="1" bestFit="1" customWidth="1"/>
    <col min="16158" max="16158" width="10.85546875" style="1" customWidth="1"/>
    <col min="16159" max="16159" width="11.5703125" style="1" customWidth="1"/>
    <col min="16160" max="16160" width="0" style="1" hidden="1" customWidth="1"/>
    <col min="16161" max="16161" width="8" style="1" customWidth="1"/>
    <col min="16162" max="16162" width="7.28515625" style="1" customWidth="1"/>
    <col min="16163" max="16163" width="18.7109375" style="1" customWidth="1"/>
    <col min="16164" max="16164" width="14.140625" style="1" customWidth="1"/>
    <col min="16165" max="16165" width="11.7109375" style="1" bestFit="1" customWidth="1"/>
    <col min="16166" max="16166" width="10.140625" style="1" bestFit="1" customWidth="1"/>
    <col min="16167" max="16384" width="9" style="1"/>
  </cols>
  <sheetData>
    <row r="2" spans="1:44" ht="54">
      <c r="A2" s="461" t="s">
        <v>514</v>
      </c>
      <c r="B2" s="461"/>
      <c r="C2" s="461"/>
      <c r="D2" s="461"/>
      <c r="E2" s="461"/>
      <c r="F2" s="461"/>
      <c r="G2" s="461"/>
      <c r="H2" s="461"/>
      <c r="I2" s="461"/>
      <c r="J2" s="509"/>
      <c r="K2" s="509"/>
      <c r="L2" s="509"/>
      <c r="M2" s="461"/>
      <c r="N2" s="509"/>
      <c r="O2" s="509"/>
      <c r="P2" s="509"/>
      <c r="Q2" s="509"/>
      <c r="R2" s="509"/>
      <c r="S2" s="509"/>
      <c r="T2" s="509"/>
      <c r="U2" s="461"/>
      <c r="V2" s="461"/>
      <c r="W2" s="461"/>
      <c r="X2" s="461"/>
      <c r="Y2" s="461"/>
      <c r="Z2" s="461"/>
      <c r="AA2" s="509"/>
      <c r="AB2" s="509"/>
      <c r="AC2" s="509"/>
      <c r="AD2" s="509"/>
      <c r="AE2" s="461"/>
      <c r="AF2" s="461"/>
      <c r="AG2" s="461"/>
      <c r="AH2" s="298"/>
    </row>
    <row r="3" spans="1:44" ht="36.75" hidden="1" customHeight="1">
      <c r="A3" s="444" t="s">
        <v>497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166"/>
      <c r="AG3" s="166"/>
      <c r="AH3" s="166"/>
    </row>
    <row r="4" spans="1:44" ht="33" customHeight="1" thickBot="1">
      <c r="A4" s="2"/>
      <c r="B4" s="3"/>
      <c r="C4" s="4"/>
      <c r="D4" s="5"/>
      <c r="E4" s="3"/>
      <c r="F4" s="3"/>
      <c r="G4" s="3"/>
      <c r="H4" s="3"/>
      <c r="I4" s="3"/>
      <c r="J4" s="345"/>
      <c r="L4" s="346"/>
      <c r="M4" s="6"/>
      <c r="N4" s="345"/>
      <c r="O4" s="345"/>
      <c r="P4" s="345"/>
      <c r="Q4" s="349"/>
      <c r="R4" s="349"/>
      <c r="S4" s="349"/>
      <c r="T4" s="349"/>
      <c r="AD4" s="510" t="s">
        <v>0</v>
      </c>
      <c r="AE4" s="462"/>
      <c r="AF4" s="462"/>
      <c r="AG4" s="462"/>
      <c r="AH4" s="462"/>
    </row>
    <row r="5" spans="1:44" ht="32.25" customHeight="1" thickBot="1">
      <c r="A5" s="463" t="s">
        <v>1</v>
      </c>
      <c r="B5" s="7"/>
      <c r="C5" s="8"/>
      <c r="D5" s="9"/>
      <c r="E5" s="466" t="s">
        <v>2</v>
      </c>
      <c r="F5" s="451" t="s">
        <v>3</v>
      </c>
      <c r="G5" s="297" t="s">
        <v>4</v>
      </c>
      <c r="H5" s="459" t="s">
        <v>5</v>
      </c>
      <c r="I5" s="460"/>
      <c r="J5" s="502" t="s">
        <v>6</v>
      </c>
      <c r="K5" s="502"/>
      <c r="L5" s="502"/>
      <c r="M5" s="297" t="s">
        <v>4</v>
      </c>
      <c r="N5" s="500" t="s">
        <v>7</v>
      </c>
      <c r="O5" s="500"/>
      <c r="P5" s="500"/>
      <c r="Q5" s="511" t="s">
        <v>8</v>
      </c>
      <c r="R5" s="512"/>
      <c r="S5" s="512"/>
      <c r="T5" s="512"/>
      <c r="U5" s="451" t="s">
        <v>9</v>
      </c>
      <c r="V5" s="457"/>
      <c r="W5" s="457"/>
      <c r="X5" s="451" t="s">
        <v>10</v>
      </c>
      <c r="Y5" s="457"/>
      <c r="Z5" s="457"/>
      <c r="AA5" s="507" t="s">
        <v>12</v>
      </c>
      <c r="AB5" s="508"/>
      <c r="AC5" s="508"/>
      <c r="AD5" s="508"/>
      <c r="AE5" s="460"/>
      <c r="AF5" s="297" t="s">
        <v>4</v>
      </c>
      <c r="AG5" s="473" t="s">
        <v>13</v>
      </c>
      <c r="AH5" s="475" t="s">
        <v>14</v>
      </c>
    </row>
    <row r="6" spans="1:44" ht="30" customHeight="1" thickBot="1">
      <c r="A6" s="464"/>
      <c r="B6" s="10"/>
      <c r="C6" s="11" t="s">
        <v>15</v>
      </c>
      <c r="D6" s="12"/>
      <c r="E6" s="467"/>
      <c r="F6" s="469"/>
      <c r="G6" s="477" t="s">
        <v>16</v>
      </c>
      <c r="H6" s="471"/>
      <c r="I6" s="472"/>
      <c r="J6" s="503"/>
      <c r="K6" s="503"/>
      <c r="L6" s="503"/>
      <c r="M6" s="479" t="s">
        <v>6</v>
      </c>
      <c r="N6" s="514" t="s">
        <v>17</v>
      </c>
      <c r="O6" s="514"/>
      <c r="P6" s="514"/>
      <c r="Q6" s="513"/>
      <c r="R6" s="513"/>
      <c r="S6" s="513"/>
      <c r="T6" s="513"/>
      <c r="U6" s="458"/>
      <c r="V6" s="458"/>
      <c r="W6" s="458"/>
      <c r="X6" s="458"/>
      <c r="Y6" s="458"/>
      <c r="Z6" s="458"/>
      <c r="AA6" s="515" t="s">
        <v>18</v>
      </c>
      <c r="AB6" s="516"/>
      <c r="AC6" s="517"/>
      <c r="AD6" s="504" t="s">
        <v>19</v>
      </c>
      <c r="AE6" s="453" t="s">
        <v>20</v>
      </c>
      <c r="AF6" s="451" t="s">
        <v>21</v>
      </c>
      <c r="AG6" s="474"/>
      <c r="AH6" s="476"/>
    </row>
    <row r="7" spans="1:44" ht="17.25">
      <c r="A7" s="464"/>
      <c r="B7" s="13"/>
      <c r="C7" s="14"/>
      <c r="D7" s="15"/>
      <c r="E7" s="467"/>
      <c r="F7" s="469"/>
      <c r="G7" s="477"/>
      <c r="H7" s="451" t="s">
        <v>22</v>
      </c>
      <c r="I7" s="451" t="s">
        <v>23</v>
      </c>
      <c r="J7" s="502" t="s">
        <v>18</v>
      </c>
      <c r="K7" s="502" t="s">
        <v>19</v>
      </c>
      <c r="L7" s="502" t="s">
        <v>24</v>
      </c>
      <c r="M7" s="479"/>
      <c r="N7" s="502" t="s">
        <v>18</v>
      </c>
      <c r="O7" s="502" t="s">
        <v>19</v>
      </c>
      <c r="P7" s="502" t="s">
        <v>24</v>
      </c>
      <c r="Q7" s="502" t="s">
        <v>18</v>
      </c>
      <c r="R7" s="502" t="s">
        <v>19</v>
      </c>
      <c r="S7" s="502" t="s">
        <v>25</v>
      </c>
      <c r="T7" s="502" t="s">
        <v>24</v>
      </c>
      <c r="U7" s="445" t="s">
        <v>18</v>
      </c>
      <c r="V7" s="445" t="s">
        <v>19</v>
      </c>
      <c r="W7" s="445" t="s">
        <v>24</v>
      </c>
      <c r="X7" s="445" t="s">
        <v>18</v>
      </c>
      <c r="Y7" s="445" t="s">
        <v>19</v>
      </c>
      <c r="Z7" s="445" t="s">
        <v>24</v>
      </c>
      <c r="AA7" s="498" t="s">
        <v>26</v>
      </c>
      <c r="AB7" s="500" t="s">
        <v>21</v>
      </c>
      <c r="AC7" s="502" t="s">
        <v>24</v>
      </c>
      <c r="AD7" s="505"/>
      <c r="AE7" s="454"/>
      <c r="AF7" s="456"/>
      <c r="AG7" s="447" t="s">
        <v>27</v>
      </c>
      <c r="AH7" s="449" t="s">
        <v>28</v>
      </c>
    </row>
    <row r="8" spans="1:44" ht="34.5" customHeight="1" thickBot="1">
      <c r="A8" s="465"/>
      <c r="B8" s="16" t="s">
        <v>29</v>
      </c>
      <c r="C8" s="17" t="s">
        <v>30</v>
      </c>
      <c r="D8" s="18" t="s">
        <v>31</v>
      </c>
      <c r="E8" s="468"/>
      <c r="F8" s="470"/>
      <c r="G8" s="478"/>
      <c r="H8" s="452"/>
      <c r="I8" s="452"/>
      <c r="J8" s="503"/>
      <c r="K8" s="503"/>
      <c r="L8" s="503"/>
      <c r="M8" s="480"/>
      <c r="N8" s="503"/>
      <c r="O8" s="503"/>
      <c r="P8" s="503"/>
      <c r="Q8" s="503"/>
      <c r="R8" s="503"/>
      <c r="S8" s="503"/>
      <c r="T8" s="503"/>
      <c r="U8" s="446"/>
      <c r="V8" s="446"/>
      <c r="W8" s="446"/>
      <c r="X8" s="446"/>
      <c r="Y8" s="446"/>
      <c r="Z8" s="446"/>
      <c r="AA8" s="499"/>
      <c r="AB8" s="501"/>
      <c r="AC8" s="503"/>
      <c r="AD8" s="506"/>
      <c r="AE8" s="455"/>
      <c r="AF8" s="452"/>
      <c r="AG8" s="448"/>
      <c r="AH8" s="450"/>
    </row>
    <row r="9" spans="1:44" ht="15.75" thickBot="1">
      <c r="A9" s="19">
        <v>1</v>
      </c>
      <c r="B9" s="20">
        <v>2</v>
      </c>
      <c r="C9" s="21">
        <v>3</v>
      </c>
      <c r="D9" s="22">
        <v>4</v>
      </c>
      <c r="E9" s="22">
        <v>5</v>
      </c>
      <c r="F9" s="21">
        <v>6</v>
      </c>
      <c r="G9" s="21"/>
      <c r="H9" s="21">
        <v>7</v>
      </c>
      <c r="I9" s="21">
        <v>8</v>
      </c>
      <c r="J9" s="347">
        <v>9</v>
      </c>
      <c r="K9" s="347">
        <v>10</v>
      </c>
      <c r="L9" s="347">
        <v>11</v>
      </c>
      <c r="M9" s="21"/>
      <c r="N9" s="347">
        <v>12</v>
      </c>
      <c r="O9" s="347">
        <v>13</v>
      </c>
      <c r="P9" s="347">
        <v>14</v>
      </c>
      <c r="Q9" s="347">
        <v>15</v>
      </c>
      <c r="R9" s="347">
        <v>16</v>
      </c>
      <c r="S9" s="347">
        <v>17</v>
      </c>
      <c r="T9" s="347">
        <v>18</v>
      </c>
      <c r="U9" s="21">
        <v>19</v>
      </c>
      <c r="V9" s="21">
        <v>20</v>
      </c>
      <c r="W9" s="21">
        <v>21</v>
      </c>
      <c r="X9" s="21">
        <v>22</v>
      </c>
      <c r="Y9" s="21">
        <v>23</v>
      </c>
      <c r="Z9" s="21">
        <v>24</v>
      </c>
      <c r="AA9" s="347">
        <v>19</v>
      </c>
      <c r="AB9" s="347">
        <v>20</v>
      </c>
      <c r="AC9" s="347">
        <v>21</v>
      </c>
      <c r="AD9" s="385">
        <v>22</v>
      </c>
      <c r="AE9" s="21">
        <v>23</v>
      </c>
      <c r="AF9" s="21"/>
      <c r="AG9" s="21">
        <v>24</v>
      </c>
      <c r="AH9" s="21">
        <v>25</v>
      </c>
    </row>
    <row r="10" spans="1:44" ht="23.25">
      <c r="A10" s="28">
        <v>1</v>
      </c>
      <c r="B10" s="29"/>
      <c r="C10" s="29"/>
      <c r="D10" s="29"/>
      <c r="E10" s="30" t="s">
        <v>34</v>
      </c>
      <c r="F10" s="31">
        <v>1</v>
      </c>
      <c r="G10" s="31"/>
      <c r="H10" s="31" t="s">
        <v>35</v>
      </c>
      <c r="I10" s="31" t="s">
        <v>36</v>
      </c>
      <c r="J10" s="348">
        <v>1560.94</v>
      </c>
      <c r="K10" s="348">
        <v>1680.2</v>
      </c>
      <c r="L10" s="348">
        <f>SUM(J10:K10)</f>
        <v>3241.1400000000003</v>
      </c>
      <c r="M10" s="32"/>
      <c r="N10" s="350"/>
      <c r="O10" s="350"/>
      <c r="P10" s="351">
        <f>SUM(N10:O10)</f>
        <v>0</v>
      </c>
      <c r="Q10" s="350"/>
      <c r="R10" s="350"/>
      <c r="S10" s="350"/>
      <c r="T10" s="351">
        <f>SUM(Q10:S10)</f>
        <v>0</v>
      </c>
      <c r="U10" s="25"/>
      <c r="V10" s="25"/>
      <c r="W10" s="33">
        <f>SUM(U10:V10)</f>
        <v>0</v>
      </c>
      <c r="X10" s="25"/>
      <c r="Y10" s="25"/>
      <c r="Z10" s="33">
        <f>SUM(X10:Y10)</f>
        <v>0</v>
      </c>
      <c r="AA10" s="351"/>
      <c r="AB10" s="348">
        <v>300</v>
      </c>
      <c r="AC10" s="352">
        <f t="shared" ref="AC10:AC51" si="0">AA10+AB10</f>
        <v>300</v>
      </c>
      <c r="AD10" s="386"/>
      <c r="AE10" s="34">
        <f t="shared" ref="AE10:AE51" si="1">AC10+AD10</f>
        <v>300</v>
      </c>
      <c r="AF10" s="34"/>
      <c r="AG10" s="35" t="s">
        <v>37</v>
      </c>
      <c r="AH10" s="36"/>
      <c r="AI10" s="37"/>
      <c r="AJ10" s="37"/>
      <c r="AK10" s="38"/>
      <c r="AL10" s="39"/>
      <c r="AM10" s="39"/>
      <c r="AN10" s="40"/>
      <c r="AO10" s="41"/>
      <c r="AP10" s="27"/>
      <c r="AQ10" s="27"/>
      <c r="AR10" s="27"/>
    </row>
    <row r="11" spans="1:44" ht="23.25" hidden="1">
      <c r="A11" s="28">
        <v>1</v>
      </c>
      <c r="B11" s="29" t="s">
        <v>38</v>
      </c>
      <c r="C11" s="29" t="s">
        <v>43</v>
      </c>
      <c r="D11" s="29" t="s">
        <v>44</v>
      </c>
      <c r="E11" s="47" t="s">
        <v>45</v>
      </c>
      <c r="F11" s="42">
        <v>1</v>
      </c>
      <c r="G11" s="42"/>
      <c r="H11" s="43" t="s">
        <v>46</v>
      </c>
      <c r="I11" s="43" t="s">
        <v>46</v>
      </c>
      <c r="J11" s="33">
        <v>2000</v>
      </c>
      <c r="K11" s="317"/>
      <c r="L11" s="33">
        <f t="shared" ref="L11:L24" si="2">SUM(J11:K11)</f>
        <v>2000</v>
      </c>
      <c r="M11" s="33"/>
      <c r="N11" s="33">
        <v>1220.31</v>
      </c>
      <c r="O11" s="317"/>
      <c r="P11" s="33">
        <f>SUM(N11:O11)</f>
        <v>1220.31</v>
      </c>
      <c r="Q11" s="33">
        <f>400+200</f>
        <v>600</v>
      </c>
      <c r="R11" s="317"/>
      <c r="S11" s="33"/>
      <c r="T11" s="34">
        <f t="shared" ref="T11:T25" si="3">SUM(Q11:S11)</f>
        <v>600</v>
      </c>
      <c r="U11" s="33">
        <f t="shared" ref="U11:U23" si="4">J11-Q11-S11</f>
        <v>1400</v>
      </c>
      <c r="V11" s="33">
        <f t="shared" ref="V11:V23" si="5">K11-R11</f>
        <v>0</v>
      </c>
      <c r="W11" s="33">
        <f t="shared" ref="W11:W25" si="6">SUM(U11:V11)</f>
        <v>1400</v>
      </c>
      <c r="X11" s="33">
        <f t="shared" ref="X11:X23" si="7">N11-Q11-S11</f>
        <v>620.30999999999995</v>
      </c>
      <c r="Y11" s="33">
        <f t="shared" ref="Y11:Y23" si="8">O11-R11</f>
        <v>0</v>
      </c>
      <c r="Z11" s="33">
        <f t="shared" ref="Z11:Z25" si="9">SUM(X11:Y11)</f>
        <v>620.30999999999995</v>
      </c>
      <c r="AA11" s="33"/>
      <c r="AB11" s="33">
        <v>100</v>
      </c>
      <c r="AC11" s="34">
        <f t="shared" si="0"/>
        <v>100</v>
      </c>
      <c r="AD11" s="317"/>
      <c r="AE11" s="34">
        <f t="shared" si="1"/>
        <v>100</v>
      </c>
      <c r="AF11" s="34"/>
      <c r="AG11" s="45"/>
      <c r="AH11" s="46"/>
    </row>
    <row r="12" spans="1:44" ht="69.75" hidden="1">
      <c r="A12" s="28">
        <v>2</v>
      </c>
      <c r="B12" s="29" t="s">
        <v>38</v>
      </c>
      <c r="C12" s="29" t="s">
        <v>47</v>
      </c>
      <c r="D12" s="29" t="s">
        <v>44</v>
      </c>
      <c r="E12" s="48" t="s">
        <v>48</v>
      </c>
      <c r="F12" s="42">
        <v>1</v>
      </c>
      <c r="G12" s="42"/>
      <c r="H12" s="49" t="s">
        <v>49</v>
      </c>
      <c r="I12" s="49" t="s">
        <v>49</v>
      </c>
      <c r="J12" s="33">
        <v>2800</v>
      </c>
      <c r="K12" s="317"/>
      <c r="L12" s="33">
        <f t="shared" si="2"/>
        <v>2800</v>
      </c>
      <c r="M12" s="33"/>
      <c r="N12" s="33">
        <v>1768.97</v>
      </c>
      <c r="O12" s="317"/>
      <c r="P12" s="33">
        <f>N12+O12</f>
        <v>1768.97</v>
      </c>
      <c r="Q12" s="33">
        <f>200+200</f>
        <v>400</v>
      </c>
      <c r="R12" s="317"/>
      <c r="S12" s="33"/>
      <c r="T12" s="34">
        <f t="shared" si="3"/>
        <v>400</v>
      </c>
      <c r="U12" s="33">
        <f t="shared" si="4"/>
        <v>2400</v>
      </c>
      <c r="V12" s="33">
        <f t="shared" si="5"/>
        <v>0</v>
      </c>
      <c r="W12" s="33">
        <f t="shared" si="6"/>
        <v>2400</v>
      </c>
      <c r="X12" s="33">
        <f t="shared" si="7"/>
        <v>1368.97</v>
      </c>
      <c r="Y12" s="33">
        <f t="shared" si="8"/>
        <v>0</v>
      </c>
      <c r="Z12" s="33">
        <f t="shared" si="9"/>
        <v>1368.97</v>
      </c>
      <c r="AA12" s="33"/>
      <c r="AB12" s="33">
        <v>100</v>
      </c>
      <c r="AC12" s="34">
        <f t="shared" si="0"/>
        <v>100</v>
      </c>
      <c r="AD12" s="317"/>
      <c r="AE12" s="34">
        <f t="shared" si="1"/>
        <v>100</v>
      </c>
      <c r="AF12" s="34"/>
      <c r="AG12" s="45"/>
      <c r="AH12" s="46"/>
    </row>
    <row r="13" spans="1:44" s="26" customFormat="1" ht="46.5" hidden="1">
      <c r="A13" s="50">
        <v>3</v>
      </c>
      <c r="B13" s="51" t="s">
        <v>38</v>
      </c>
      <c r="C13" s="51" t="s">
        <v>50</v>
      </c>
      <c r="D13" s="51" t="s">
        <v>51</v>
      </c>
      <c r="E13" s="52" t="s">
        <v>52</v>
      </c>
      <c r="F13" s="53">
        <v>1</v>
      </c>
      <c r="G13" s="53"/>
      <c r="H13" s="54" t="s">
        <v>46</v>
      </c>
      <c r="I13" s="54" t="s">
        <v>46</v>
      </c>
      <c r="J13" s="55">
        <f>SUM(J14:J17)</f>
        <v>4867</v>
      </c>
      <c r="K13" s="318">
        <f t="shared" ref="K13:AD13" si="10">SUM(K14:K17)</f>
        <v>0</v>
      </c>
      <c r="L13" s="55">
        <f t="shared" si="10"/>
        <v>4867</v>
      </c>
      <c r="M13" s="55"/>
      <c r="N13" s="55">
        <f t="shared" si="10"/>
        <v>4243.49</v>
      </c>
      <c r="O13" s="318">
        <f t="shared" si="10"/>
        <v>0</v>
      </c>
      <c r="P13" s="55">
        <f t="shared" si="10"/>
        <v>4243.49</v>
      </c>
      <c r="Q13" s="55">
        <f t="shared" si="10"/>
        <v>1481.6</v>
      </c>
      <c r="R13" s="318">
        <f t="shared" si="10"/>
        <v>0</v>
      </c>
      <c r="S13" s="55">
        <f t="shared" si="10"/>
        <v>0</v>
      </c>
      <c r="T13" s="55">
        <f t="shared" si="10"/>
        <v>1481.6</v>
      </c>
      <c r="U13" s="55">
        <f t="shared" si="10"/>
        <v>3385.4</v>
      </c>
      <c r="V13" s="55">
        <f t="shared" si="10"/>
        <v>0</v>
      </c>
      <c r="W13" s="55">
        <f t="shared" si="10"/>
        <v>3385.4</v>
      </c>
      <c r="X13" s="55">
        <f t="shared" si="10"/>
        <v>2761.89</v>
      </c>
      <c r="Y13" s="55">
        <f t="shared" si="10"/>
        <v>0</v>
      </c>
      <c r="Z13" s="55">
        <f t="shared" si="10"/>
        <v>2761.89</v>
      </c>
      <c r="AA13" s="55">
        <f t="shared" si="10"/>
        <v>0</v>
      </c>
      <c r="AB13" s="55">
        <f t="shared" si="10"/>
        <v>500</v>
      </c>
      <c r="AC13" s="56">
        <f t="shared" si="0"/>
        <v>500</v>
      </c>
      <c r="AD13" s="318">
        <f t="shared" si="10"/>
        <v>0</v>
      </c>
      <c r="AE13" s="56">
        <f t="shared" si="1"/>
        <v>500</v>
      </c>
      <c r="AF13" s="56"/>
      <c r="AG13" s="57"/>
      <c r="AH13" s="58"/>
    </row>
    <row r="14" spans="1:44" s="68" customFormat="1" ht="23.25" hidden="1">
      <c r="A14" s="59"/>
      <c r="B14" s="60"/>
      <c r="C14" s="60"/>
      <c r="D14" s="60"/>
      <c r="E14" s="61" t="s">
        <v>53</v>
      </c>
      <c r="F14" s="62"/>
      <c r="G14" s="62"/>
      <c r="H14" s="62"/>
      <c r="I14" s="62"/>
      <c r="J14" s="63">
        <v>1234.48</v>
      </c>
      <c r="K14" s="319"/>
      <c r="L14" s="63">
        <f>SUM(J14:K14)</f>
        <v>1234.48</v>
      </c>
      <c r="M14" s="63"/>
      <c r="N14" s="63">
        <v>614.28</v>
      </c>
      <c r="O14" s="336"/>
      <c r="P14" s="63">
        <f t="shared" ref="P14:P19" si="11">SUM(N14:O14)</f>
        <v>614.28</v>
      </c>
      <c r="Q14" s="63">
        <v>200</v>
      </c>
      <c r="R14" s="336"/>
      <c r="S14" s="64"/>
      <c r="T14" s="65">
        <f t="shared" si="3"/>
        <v>200</v>
      </c>
      <c r="U14" s="63">
        <f>J14-Q14-S14</f>
        <v>1034.48</v>
      </c>
      <c r="V14" s="63">
        <f>K14-R14</f>
        <v>0</v>
      </c>
      <c r="W14" s="63">
        <f>SUM(U14:V14)</f>
        <v>1034.48</v>
      </c>
      <c r="X14" s="63">
        <f>N14-Q14-S14</f>
        <v>414.28</v>
      </c>
      <c r="Y14" s="63">
        <f>O14-R14</f>
        <v>0</v>
      </c>
      <c r="Z14" s="63">
        <f>SUM(X14:Y14)</f>
        <v>414.28</v>
      </c>
      <c r="AA14" s="63"/>
      <c r="AB14" s="63">
        <v>100</v>
      </c>
      <c r="AC14" s="65">
        <f t="shared" si="0"/>
        <v>100</v>
      </c>
      <c r="AD14" s="319"/>
      <c r="AE14" s="65">
        <f t="shared" si="1"/>
        <v>100</v>
      </c>
      <c r="AF14" s="65"/>
      <c r="AG14" s="66"/>
      <c r="AH14" s="67"/>
    </row>
    <row r="15" spans="1:44" s="68" customFormat="1" ht="23.25" hidden="1">
      <c r="A15" s="59"/>
      <c r="B15" s="60"/>
      <c r="C15" s="60"/>
      <c r="D15" s="60"/>
      <c r="E15" s="61" t="s">
        <v>54</v>
      </c>
      <c r="F15" s="62"/>
      <c r="G15" s="62"/>
      <c r="H15" s="62"/>
      <c r="I15" s="62"/>
      <c r="J15" s="63">
        <v>1202.77</v>
      </c>
      <c r="K15" s="319"/>
      <c r="L15" s="63">
        <f>SUM(J15:K15)</f>
        <v>1202.77</v>
      </c>
      <c r="M15" s="63"/>
      <c r="N15" s="63">
        <v>1202.77</v>
      </c>
      <c r="O15" s="336"/>
      <c r="P15" s="63">
        <f t="shared" si="11"/>
        <v>1202.77</v>
      </c>
      <c r="Q15" s="63">
        <v>400</v>
      </c>
      <c r="R15" s="336"/>
      <c r="S15" s="64"/>
      <c r="T15" s="65">
        <f>SUM(Q15:S15)</f>
        <v>400</v>
      </c>
      <c r="U15" s="63">
        <f>J15-Q15-S15</f>
        <v>802.77</v>
      </c>
      <c r="V15" s="63">
        <f>K15-R15</f>
        <v>0</v>
      </c>
      <c r="W15" s="63">
        <f>SUM(U15:V15)</f>
        <v>802.77</v>
      </c>
      <c r="X15" s="63">
        <f>N15-Q15-S15</f>
        <v>802.77</v>
      </c>
      <c r="Y15" s="63">
        <f>O15-R15</f>
        <v>0</v>
      </c>
      <c r="Z15" s="63">
        <f>SUM(X15:Y15)</f>
        <v>802.77</v>
      </c>
      <c r="AA15" s="63"/>
      <c r="AB15" s="63">
        <v>100</v>
      </c>
      <c r="AC15" s="65">
        <f t="shared" si="0"/>
        <v>100</v>
      </c>
      <c r="AD15" s="319"/>
      <c r="AE15" s="65">
        <f t="shared" si="1"/>
        <v>100</v>
      </c>
      <c r="AF15" s="65"/>
      <c r="AG15" s="66"/>
      <c r="AH15" s="67"/>
    </row>
    <row r="16" spans="1:44" s="68" customFormat="1" ht="23.25" hidden="1">
      <c r="A16" s="59"/>
      <c r="B16" s="60"/>
      <c r="C16" s="60"/>
      <c r="D16" s="60"/>
      <c r="E16" s="61" t="s">
        <v>55</v>
      </c>
      <c r="F16" s="62"/>
      <c r="G16" s="62"/>
      <c r="H16" s="62"/>
      <c r="I16" s="62"/>
      <c r="J16" s="63">
        <v>1225.6199999999999</v>
      </c>
      <c r="K16" s="319"/>
      <c r="L16" s="63">
        <f>SUM(J16:K16)</f>
        <v>1225.6199999999999</v>
      </c>
      <c r="M16" s="63"/>
      <c r="N16" s="63">
        <v>1222.31</v>
      </c>
      <c r="O16" s="336"/>
      <c r="P16" s="63">
        <f t="shared" si="11"/>
        <v>1222.31</v>
      </c>
      <c r="Q16" s="63">
        <v>581.6</v>
      </c>
      <c r="R16" s="336"/>
      <c r="S16" s="64"/>
      <c r="T16" s="65">
        <f>SUM(Q16:S16)</f>
        <v>581.6</v>
      </c>
      <c r="U16" s="63">
        <f>J16-Q16-S16</f>
        <v>644.01999999999987</v>
      </c>
      <c r="V16" s="63">
        <f>K16-R16</f>
        <v>0</v>
      </c>
      <c r="W16" s="63">
        <f>SUM(U16:V16)</f>
        <v>644.01999999999987</v>
      </c>
      <c r="X16" s="63">
        <f>N16-Q16-S16</f>
        <v>640.70999999999992</v>
      </c>
      <c r="Y16" s="63">
        <f>O16-R16</f>
        <v>0</v>
      </c>
      <c r="Z16" s="63">
        <f>SUM(X16:Y16)</f>
        <v>640.70999999999992</v>
      </c>
      <c r="AA16" s="63"/>
      <c r="AB16" s="63">
        <v>100</v>
      </c>
      <c r="AC16" s="65">
        <f t="shared" si="0"/>
        <v>100</v>
      </c>
      <c r="AD16" s="319"/>
      <c r="AE16" s="65">
        <f t="shared" si="1"/>
        <v>100</v>
      </c>
      <c r="AF16" s="65"/>
      <c r="AG16" s="66"/>
      <c r="AH16" s="67"/>
    </row>
    <row r="17" spans="1:34" s="68" customFormat="1" ht="23.25" hidden="1">
      <c r="A17" s="59"/>
      <c r="B17" s="60"/>
      <c r="C17" s="60"/>
      <c r="D17" s="60"/>
      <c r="E17" s="61" t="s">
        <v>56</v>
      </c>
      <c r="F17" s="62"/>
      <c r="G17" s="62"/>
      <c r="H17" s="62"/>
      <c r="I17" s="62"/>
      <c r="J17" s="63">
        <v>1204.1300000000001</v>
      </c>
      <c r="K17" s="319"/>
      <c r="L17" s="63">
        <f>SUM(J17:K17)</f>
        <v>1204.1300000000001</v>
      </c>
      <c r="M17" s="63"/>
      <c r="N17" s="63">
        <v>1204.1300000000001</v>
      </c>
      <c r="O17" s="336"/>
      <c r="P17" s="63">
        <f t="shared" si="11"/>
        <v>1204.1300000000001</v>
      </c>
      <c r="Q17" s="63">
        <v>300</v>
      </c>
      <c r="R17" s="336"/>
      <c r="S17" s="64"/>
      <c r="T17" s="65">
        <f>SUM(Q17:S17)</f>
        <v>300</v>
      </c>
      <c r="U17" s="63">
        <f>J17-Q17-S17</f>
        <v>904.13000000000011</v>
      </c>
      <c r="V17" s="63">
        <f>K17-R17</f>
        <v>0</v>
      </c>
      <c r="W17" s="63">
        <f>SUM(U17:V17)</f>
        <v>904.13000000000011</v>
      </c>
      <c r="X17" s="63">
        <f>N17-Q17-S17</f>
        <v>904.13000000000011</v>
      </c>
      <c r="Y17" s="63">
        <f>O17-R17</f>
        <v>0</v>
      </c>
      <c r="Z17" s="63">
        <f>SUM(X17:Y17)</f>
        <v>904.13000000000011</v>
      </c>
      <c r="AA17" s="63"/>
      <c r="AB17" s="63">
        <v>200</v>
      </c>
      <c r="AC17" s="65">
        <f t="shared" si="0"/>
        <v>200</v>
      </c>
      <c r="AD17" s="319"/>
      <c r="AE17" s="65">
        <f t="shared" si="1"/>
        <v>200</v>
      </c>
      <c r="AF17" s="65"/>
      <c r="AG17" s="66"/>
      <c r="AH17" s="67"/>
    </row>
    <row r="18" spans="1:34" ht="23.25" hidden="1">
      <c r="A18" s="28">
        <v>4</v>
      </c>
      <c r="B18" s="29" t="s">
        <v>38</v>
      </c>
      <c r="C18" s="29" t="s">
        <v>57</v>
      </c>
      <c r="D18" s="29" t="s">
        <v>44</v>
      </c>
      <c r="E18" s="48" t="s">
        <v>58</v>
      </c>
      <c r="F18" s="42">
        <v>1</v>
      </c>
      <c r="G18" s="42"/>
      <c r="H18" s="43" t="s">
        <v>46</v>
      </c>
      <c r="I18" s="43" t="s">
        <v>46</v>
      </c>
      <c r="J18" s="33">
        <v>4732</v>
      </c>
      <c r="K18" s="317"/>
      <c r="L18" s="33">
        <f t="shared" si="2"/>
        <v>4732</v>
      </c>
      <c r="M18" s="33"/>
      <c r="N18" s="33">
        <v>4257</v>
      </c>
      <c r="O18" s="323"/>
      <c r="P18" s="33">
        <f t="shared" si="11"/>
        <v>4257</v>
      </c>
      <c r="Q18" s="33">
        <f>800+400</f>
        <v>1200</v>
      </c>
      <c r="R18" s="323"/>
      <c r="S18" s="69"/>
      <c r="T18" s="34">
        <f t="shared" si="3"/>
        <v>1200</v>
      </c>
      <c r="U18" s="33">
        <f t="shared" si="4"/>
        <v>3532</v>
      </c>
      <c r="V18" s="33">
        <f t="shared" si="5"/>
        <v>0</v>
      </c>
      <c r="W18" s="33">
        <f t="shared" si="6"/>
        <v>3532</v>
      </c>
      <c r="X18" s="33">
        <f t="shared" si="7"/>
        <v>3057</v>
      </c>
      <c r="Y18" s="33">
        <f t="shared" si="8"/>
        <v>0</v>
      </c>
      <c r="Z18" s="33">
        <f t="shared" si="9"/>
        <v>3057</v>
      </c>
      <c r="AA18" s="33"/>
      <c r="AB18" s="33">
        <v>220.63</v>
      </c>
      <c r="AC18" s="34">
        <f t="shared" si="0"/>
        <v>220.63</v>
      </c>
      <c r="AD18" s="317"/>
      <c r="AE18" s="34">
        <f t="shared" si="1"/>
        <v>220.63</v>
      </c>
      <c r="AF18" s="34"/>
      <c r="AG18" s="57"/>
      <c r="AH18" s="58"/>
    </row>
    <row r="19" spans="1:34" ht="23.25" hidden="1">
      <c r="A19" s="28">
        <v>5</v>
      </c>
      <c r="B19" s="29" t="s">
        <v>38</v>
      </c>
      <c r="C19" s="29" t="s">
        <v>59</v>
      </c>
      <c r="D19" s="29" t="s">
        <v>60</v>
      </c>
      <c r="E19" s="48" t="s">
        <v>61</v>
      </c>
      <c r="F19" s="42">
        <v>1</v>
      </c>
      <c r="G19" s="42"/>
      <c r="H19" s="43" t="s">
        <v>42</v>
      </c>
      <c r="I19" s="43" t="s">
        <v>42</v>
      </c>
      <c r="J19" s="33">
        <v>600</v>
      </c>
      <c r="K19" s="317"/>
      <c r="L19" s="33">
        <f>SUM(J19:K19)</f>
        <v>600</v>
      </c>
      <c r="M19" s="33"/>
      <c r="N19" s="33">
        <v>386.93</v>
      </c>
      <c r="O19" s="323"/>
      <c r="P19" s="33">
        <f t="shared" si="11"/>
        <v>386.93</v>
      </c>
      <c r="Q19" s="33">
        <v>386.93</v>
      </c>
      <c r="R19" s="323"/>
      <c r="S19" s="69"/>
      <c r="T19" s="34">
        <f>SUM(Q19:S19)</f>
        <v>386.93</v>
      </c>
      <c r="U19" s="33">
        <f>J19-Q19-S19</f>
        <v>213.07</v>
      </c>
      <c r="V19" s="33">
        <f>K19-R19</f>
        <v>0</v>
      </c>
      <c r="W19" s="33">
        <f>SUM(U19:V19)</f>
        <v>213.07</v>
      </c>
      <c r="X19" s="33">
        <f>N19-Q19-S19</f>
        <v>0</v>
      </c>
      <c r="Y19" s="33">
        <f>O19-R19</f>
        <v>0</v>
      </c>
      <c r="Z19" s="33">
        <f>SUM(X19:Y19)</f>
        <v>0</v>
      </c>
      <c r="AA19" s="33">
        <v>200</v>
      </c>
      <c r="AB19" s="33"/>
      <c r="AC19" s="34">
        <f>AA19+AB19</f>
        <v>200</v>
      </c>
      <c r="AD19" s="317"/>
      <c r="AE19" s="34">
        <f>AC19+AD19</f>
        <v>200</v>
      </c>
      <c r="AF19" s="34"/>
      <c r="AG19" s="57"/>
      <c r="AH19" s="58"/>
    </row>
    <row r="20" spans="1:34" ht="46.5" hidden="1">
      <c r="A20" s="28">
        <v>6</v>
      </c>
      <c r="B20" s="29" t="s">
        <v>38</v>
      </c>
      <c r="C20" s="29" t="s">
        <v>62</v>
      </c>
      <c r="D20" s="29" t="s">
        <v>44</v>
      </c>
      <c r="E20" s="48" t="s">
        <v>63</v>
      </c>
      <c r="F20" s="42">
        <v>1</v>
      </c>
      <c r="G20" s="42"/>
      <c r="H20" s="43" t="s">
        <v>49</v>
      </c>
      <c r="I20" s="43" t="s">
        <v>49</v>
      </c>
      <c r="J20" s="33">
        <v>3525</v>
      </c>
      <c r="K20" s="317"/>
      <c r="L20" s="33">
        <f t="shared" si="2"/>
        <v>3525</v>
      </c>
      <c r="M20" s="33"/>
      <c r="N20" s="33">
        <f>233+167</f>
        <v>400</v>
      </c>
      <c r="O20" s="317"/>
      <c r="P20" s="33">
        <f>N20+O20</f>
        <v>400</v>
      </c>
      <c r="Q20" s="33">
        <f>200+200</f>
        <v>400</v>
      </c>
      <c r="R20" s="317"/>
      <c r="S20" s="33"/>
      <c r="T20" s="34">
        <f t="shared" si="3"/>
        <v>400</v>
      </c>
      <c r="U20" s="33">
        <f t="shared" si="4"/>
        <v>3125</v>
      </c>
      <c r="V20" s="33">
        <f t="shared" si="5"/>
        <v>0</v>
      </c>
      <c r="W20" s="33">
        <f t="shared" si="6"/>
        <v>3125</v>
      </c>
      <c r="X20" s="33">
        <f t="shared" si="7"/>
        <v>0</v>
      </c>
      <c r="Y20" s="33">
        <f t="shared" si="8"/>
        <v>0</v>
      </c>
      <c r="Z20" s="33">
        <f t="shared" si="9"/>
        <v>0</v>
      </c>
      <c r="AA20" s="33">
        <v>200</v>
      </c>
      <c r="AB20" s="33">
        <v>100</v>
      </c>
      <c r="AC20" s="34">
        <f t="shared" si="0"/>
        <v>300</v>
      </c>
      <c r="AD20" s="317"/>
      <c r="AE20" s="34">
        <f t="shared" si="1"/>
        <v>300</v>
      </c>
      <c r="AF20" s="34"/>
      <c r="AG20" s="45"/>
      <c r="AH20" s="46"/>
    </row>
    <row r="21" spans="1:34" ht="46.5" hidden="1">
      <c r="A21" s="28">
        <v>7</v>
      </c>
      <c r="B21" s="29" t="s">
        <v>38</v>
      </c>
      <c r="C21" s="29" t="s">
        <v>64</v>
      </c>
      <c r="D21" s="29" t="s">
        <v>65</v>
      </c>
      <c r="E21" s="30" t="s">
        <v>66</v>
      </c>
      <c r="F21" s="42">
        <v>1</v>
      </c>
      <c r="G21" s="42"/>
      <c r="H21" s="70" t="s">
        <v>67</v>
      </c>
      <c r="I21" s="70" t="s">
        <v>67</v>
      </c>
      <c r="J21" s="33">
        <v>1350</v>
      </c>
      <c r="K21" s="317"/>
      <c r="L21" s="33">
        <f t="shared" si="2"/>
        <v>1350</v>
      </c>
      <c r="M21" s="33"/>
      <c r="N21" s="33">
        <v>1308.52</v>
      </c>
      <c r="O21" s="317"/>
      <c r="P21" s="33">
        <f t="shared" ref="P21:P27" si="12">SUM(N21:O21)</f>
        <v>1308.52</v>
      </c>
      <c r="Q21" s="33">
        <f>300+200</f>
        <v>500</v>
      </c>
      <c r="R21" s="317"/>
      <c r="S21" s="33"/>
      <c r="T21" s="34">
        <f t="shared" si="3"/>
        <v>500</v>
      </c>
      <c r="U21" s="33">
        <f t="shared" si="4"/>
        <v>850</v>
      </c>
      <c r="V21" s="33">
        <f t="shared" si="5"/>
        <v>0</v>
      </c>
      <c r="W21" s="33">
        <f t="shared" si="6"/>
        <v>850</v>
      </c>
      <c r="X21" s="33">
        <f t="shared" si="7"/>
        <v>808.52</v>
      </c>
      <c r="Y21" s="33">
        <f t="shared" si="8"/>
        <v>0</v>
      </c>
      <c r="Z21" s="33">
        <f t="shared" si="9"/>
        <v>808.52</v>
      </c>
      <c r="AA21" s="33"/>
      <c r="AB21" s="33">
        <v>100</v>
      </c>
      <c r="AC21" s="34">
        <f t="shared" si="0"/>
        <v>100</v>
      </c>
      <c r="AD21" s="317"/>
      <c r="AE21" s="34">
        <f t="shared" si="1"/>
        <v>100</v>
      </c>
      <c r="AF21" s="34"/>
      <c r="AG21" s="71"/>
      <c r="AH21" s="72"/>
    </row>
    <row r="22" spans="1:34" ht="23.25" hidden="1">
      <c r="A22" s="28">
        <v>8</v>
      </c>
      <c r="B22" s="29" t="s">
        <v>38</v>
      </c>
      <c r="C22" s="29" t="s">
        <v>68</v>
      </c>
      <c r="D22" s="29" t="s">
        <v>44</v>
      </c>
      <c r="E22" s="48" t="s">
        <v>69</v>
      </c>
      <c r="F22" s="42">
        <v>1</v>
      </c>
      <c r="G22" s="42"/>
      <c r="H22" s="70" t="s">
        <v>67</v>
      </c>
      <c r="I22" s="70" t="s">
        <v>67</v>
      </c>
      <c r="J22" s="33">
        <v>1570</v>
      </c>
      <c r="K22" s="317"/>
      <c r="L22" s="33">
        <f t="shared" si="2"/>
        <v>1570</v>
      </c>
      <c r="M22" s="33"/>
      <c r="N22" s="33">
        <v>731</v>
      </c>
      <c r="O22" s="317"/>
      <c r="P22" s="33">
        <f t="shared" si="12"/>
        <v>731</v>
      </c>
      <c r="Q22" s="33">
        <f>400+200</f>
        <v>600</v>
      </c>
      <c r="R22" s="317"/>
      <c r="S22" s="33"/>
      <c r="T22" s="34">
        <f t="shared" si="3"/>
        <v>600</v>
      </c>
      <c r="U22" s="33">
        <f t="shared" si="4"/>
        <v>970</v>
      </c>
      <c r="V22" s="33">
        <f t="shared" si="5"/>
        <v>0</v>
      </c>
      <c r="W22" s="33">
        <f t="shared" si="6"/>
        <v>970</v>
      </c>
      <c r="X22" s="33">
        <f t="shared" si="7"/>
        <v>131</v>
      </c>
      <c r="Y22" s="33">
        <f t="shared" si="8"/>
        <v>0</v>
      </c>
      <c r="Z22" s="33">
        <f t="shared" si="9"/>
        <v>131</v>
      </c>
      <c r="AA22" s="33"/>
      <c r="AB22" s="33">
        <v>100</v>
      </c>
      <c r="AC22" s="34">
        <f t="shared" si="0"/>
        <v>100</v>
      </c>
      <c r="AD22" s="317"/>
      <c r="AE22" s="34">
        <f t="shared" si="1"/>
        <v>100</v>
      </c>
      <c r="AF22" s="34"/>
      <c r="AG22" s="71"/>
      <c r="AH22" s="72"/>
    </row>
    <row r="23" spans="1:34" ht="46.5" hidden="1">
      <c r="A23" s="28">
        <v>9</v>
      </c>
      <c r="B23" s="29" t="s">
        <v>38</v>
      </c>
      <c r="C23" s="29" t="s">
        <v>70</v>
      </c>
      <c r="D23" s="29" t="s">
        <v>44</v>
      </c>
      <c r="E23" s="30" t="s">
        <v>71</v>
      </c>
      <c r="F23" s="42">
        <v>1</v>
      </c>
      <c r="G23" s="42"/>
      <c r="H23" s="43" t="s">
        <v>46</v>
      </c>
      <c r="I23" s="43" t="s">
        <v>46</v>
      </c>
      <c r="J23" s="33">
        <v>2509</v>
      </c>
      <c r="K23" s="320"/>
      <c r="L23" s="33">
        <f t="shared" si="2"/>
        <v>2509</v>
      </c>
      <c r="M23" s="33"/>
      <c r="N23" s="33">
        <v>1909</v>
      </c>
      <c r="O23" s="320"/>
      <c r="P23" s="33">
        <f t="shared" si="12"/>
        <v>1909</v>
      </c>
      <c r="Q23" s="33">
        <f>950+200</f>
        <v>1150</v>
      </c>
      <c r="R23" s="317"/>
      <c r="S23" s="33"/>
      <c r="T23" s="33">
        <f>SUM(Q23:S23)</f>
        <v>1150</v>
      </c>
      <c r="U23" s="33">
        <f t="shared" si="4"/>
        <v>1359</v>
      </c>
      <c r="V23" s="33">
        <f t="shared" si="5"/>
        <v>0</v>
      </c>
      <c r="W23" s="33">
        <f t="shared" si="6"/>
        <v>1359</v>
      </c>
      <c r="X23" s="33">
        <f t="shared" si="7"/>
        <v>759</v>
      </c>
      <c r="Y23" s="33">
        <f t="shared" si="8"/>
        <v>0</v>
      </c>
      <c r="Z23" s="33">
        <f t="shared" si="9"/>
        <v>759</v>
      </c>
      <c r="AA23" s="33"/>
      <c r="AB23" s="33">
        <v>200</v>
      </c>
      <c r="AC23" s="34">
        <f t="shared" si="0"/>
        <v>200</v>
      </c>
      <c r="AD23" s="317"/>
      <c r="AE23" s="34">
        <f t="shared" si="1"/>
        <v>200</v>
      </c>
      <c r="AF23" s="34"/>
      <c r="AG23" s="45"/>
      <c r="AH23" s="46"/>
    </row>
    <row r="24" spans="1:34" ht="23.25" hidden="1">
      <c r="A24" s="28">
        <v>10</v>
      </c>
      <c r="B24" s="29" t="s">
        <v>38</v>
      </c>
      <c r="C24" s="29" t="s">
        <v>72</v>
      </c>
      <c r="D24" s="29" t="s">
        <v>44</v>
      </c>
      <c r="E24" s="74" t="s">
        <v>73</v>
      </c>
      <c r="F24" s="42">
        <v>1</v>
      </c>
      <c r="G24" s="42"/>
      <c r="H24" s="70" t="s">
        <v>74</v>
      </c>
      <c r="I24" s="70" t="s">
        <v>74</v>
      </c>
      <c r="J24" s="33">
        <v>1676</v>
      </c>
      <c r="K24" s="317"/>
      <c r="L24" s="33">
        <f t="shared" si="2"/>
        <v>1676</v>
      </c>
      <c r="M24" s="33"/>
      <c r="N24" s="33">
        <v>1318</v>
      </c>
      <c r="O24" s="317"/>
      <c r="P24" s="33">
        <f t="shared" si="12"/>
        <v>1318</v>
      </c>
      <c r="Q24" s="33">
        <v>100</v>
      </c>
      <c r="R24" s="317"/>
      <c r="S24" s="33"/>
      <c r="T24" s="34">
        <f t="shared" si="3"/>
        <v>100</v>
      </c>
      <c r="U24" s="33">
        <f>J24-Q24-S24</f>
        <v>1576</v>
      </c>
      <c r="V24" s="33">
        <f>K24-R24</f>
        <v>0</v>
      </c>
      <c r="W24" s="33">
        <f t="shared" si="6"/>
        <v>1576</v>
      </c>
      <c r="X24" s="33">
        <f>N24-Q24-S24</f>
        <v>1218</v>
      </c>
      <c r="Y24" s="33">
        <f>O24-R24</f>
        <v>0</v>
      </c>
      <c r="Z24" s="33">
        <f t="shared" si="9"/>
        <v>1218</v>
      </c>
      <c r="AA24" s="33">
        <v>100</v>
      </c>
      <c r="AB24" s="33">
        <v>100</v>
      </c>
      <c r="AC24" s="34">
        <f t="shared" si="0"/>
        <v>200</v>
      </c>
      <c r="AD24" s="317"/>
      <c r="AE24" s="34">
        <f t="shared" si="1"/>
        <v>200</v>
      </c>
      <c r="AF24" s="34"/>
      <c r="AG24" s="71" t="s">
        <v>37</v>
      </c>
      <c r="AH24" s="72"/>
    </row>
    <row r="25" spans="1:34" ht="23.25" hidden="1">
      <c r="A25" s="28">
        <v>11</v>
      </c>
      <c r="B25" s="29" t="s">
        <v>38</v>
      </c>
      <c r="C25" s="29" t="s">
        <v>75</v>
      </c>
      <c r="D25" s="29" t="s">
        <v>76</v>
      </c>
      <c r="E25" s="48" t="s">
        <v>77</v>
      </c>
      <c r="F25" s="42">
        <v>1</v>
      </c>
      <c r="G25" s="42"/>
      <c r="H25" s="43" t="s">
        <v>78</v>
      </c>
      <c r="I25" s="43" t="s">
        <v>78</v>
      </c>
      <c r="J25" s="33">
        <v>5000</v>
      </c>
      <c r="K25" s="317"/>
      <c r="L25" s="33">
        <f>SUM(J25:K25)</f>
        <v>5000</v>
      </c>
      <c r="M25" s="33"/>
      <c r="N25" s="33">
        <v>5000</v>
      </c>
      <c r="O25" s="317"/>
      <c r="P25" s="33">
        <f t="shared" si="12"/>
        <v>5000</v>
      </c>
      <c r="Q25" s="33">
        <f>1900+200</f>
        <v>2100</v>
      </c>
      <c r="R25" s="317"/>
      <c r="S25" s="33"/>
      <c r="T25" s="34">
        <f t="shared" si="3"/>
        <v>2100</v>
      </c>
      <c r="U25" s="33">
        <f>J25-Q25-S25</f>
        <v>2900</v>
      </c>
      <c r="V25" s="33">
        <f>K25-R25</f>
        <v>0</v>
      </c>
      <c r="W25" s="33">
        <f t="shared" si="6"/>
        <v>2900</v>
      </c>
      <c r="X25" s="33">
        <f>N25-Q25-S25</f>
        <v>2900</v>
      </c>
      <c r="Y25" s="33">
        <f>O25-R25</f>
        <v>0</v>
      </c>
      <c r="Z25" s="33">
        <f t="shared" si="9"/>
        <v>2900</v>
      </c>
      <c r="AA25" s="33"/>
      <c r="AB25" s="33">
        <v>100</v>
      </c>
      <c r="AC25" s="34">
        <f t="shared" si="0"/>
        <v>100</v>
      </c>
      <c r="AD25" s="317"/>
      <c r="AE25" s="34">
        <f t="shared" si="1"/>
        <v>100</v>
      </c>
      <c r="AF25" s="34"/>
      <c r="AG25" s="45"/>
      <c r="AH25" s="46"/>
    </row>
    <row r="26" spans="1:34" ht="46.5">
      <c r="A26" s="28">
        <v>1</v>
      </c>
      <c r="B26" s="29" t="s">
        <v>84</v>
      </c>
      <c r="C26" s="29" t="s">
        <v>85</v>
      </c>
      <c r="D26" s="29" t="s">
        <v>60</v>
      </c>
      <c r="E26" s="30" t="s">
        <v>86</v>
      </c>
      <c r="F26" s="42">
        <v>1</v>
      </c>
      <c r="G26" s="42"/>
      <c r="H26" s="43" t="s">
        <v>42</v>
      </c>
      <c r="I26" s="43" t="s">
        <v>42</v>
      </c>
      <c r="J26" s="353">
        <v>1210</v>
      </c>
      <c r="K26" s="354">
        <v>2541.42</v>
      </c>
      <c r="L26" s="351">
        <f>SUM(J26:K26)</f>
        <v>3751.42</v>
      </c>
      <c r="M26" s="33"/>
      <c r="N26" s="353">
        <v>1000</v>
      </c>
      <c r="O26" s="354">
        <v>1325.78</v>
      </c>
      <c r="P26" s="351">
        <f t="shared" si="12"/>
        <v>2325.7799999999997</v>
      </c>
      <c r="Q26" s="351">
        <f>900+100</f>
        <v>1000</v>
      </c>
      <c r="R26" s="351">
        <v>1325.78</v>
      </c>
      <c r="S26" s="351"/>
      <c r="T26" s="351">
        <f t="shared" ref="T26:T27" si="13">SUM(Q26:S26)</f>
        <v>2325.7799999999997</v>
      </c>
      <c r="U26" s="33">
        <f>J26-Q26-S26</f>
        <v>210</v>
      </c>
      <c r="V26" s="33">
        <f>K26-R26</f>
        <v>1215.6400000000001</v>
      </c>
      <c r="W26" s="33">
        <f>SUM(U26:V26)</f>
        <v>1425.64</v>
      </c>
      <c r="X26" s="33">
        <f>N26-Q26-S26</f>
        <v>0</v>
      </c>
      <c r="Y26" s="33">
        <f>O26-R26</f>
        <v>0</v>
      </c>
      <c r="Z26" s="33">
        <f>SUM(X26:Y26)</f>
        <v>0</v>
      </c>
      <c r="AA26" s="351">
        <v>100</v>
      </c>
      <c r="AB26" s="351">
        <v>100</v>
      </c>
      <c r="AC26" s="352">
        <f t="shared" si="0"/>
        <v>200</v>
      </c>
      <c r="AD26" s="387"/>
      <c r="AE26" s="34">
        <f t="shared" si="1"/>
        <v>200</v>
      </c>
      <c r="AF26" s="34"/>
      <c r="AG26" s="45"/>
      <c r="AH26" s="46"/>
    </row>
    <row r="27" spans="1:34" ht="46.5" hidden="1">
      <c r="A27" s="79">
        <v>1</v>
      </c>
      <c r="B27" s="29" t="s">
        <v>84</v>
      </c>
      <c r="C27" s="29" t="s">
        <v>87</v>
      </c>
      <c r="D27" s="29" t="s">
        <v>40</v>
      </c>
      <c r="E27" s="30" t="s">
        <v>88</v>
      </c>
      <c r="F27" s="42">
        <v>1</v>
      </c>
      <c r="G27" s="42"/>
      <c r="H27" s="43" t="s">
        <v>42</v>
      </c>
      <c r="I27" s="43" t="s">
        <v>42</v>
      </c>
      <c r="J27" s="44">
        <v>1136.52</v>
      </c>
      <c r="K27" s="317"/>
      <c r="L27" s="33">
        <f>SUM(J27:K27)</f>
        <v>1136.52</v>
      </c>
      <c r="M27" s="33"/>
      <c r="N27" s="44">
        <v>923</v>
      </c>
      <c r="O27" s="317"/>
      <c r="P27" s="33">
        <f t="shared" si="12"/>
        <v>923</v>
      </c>
      <c r="Q27" s="33">
        <v>923</v>
      </c>
      <c r="R27" s="317"/>
      <c r="S27" s="33"/>
      <c r="T27" s="33">
        <f t="shared" si="13"/>
        <v>923</v>
      </c>
      <c r="U27" s="33">
        <f>J27-Q27-S27</f>
        <v>213.51999999999998</v>
      </c>
      <c r="V27" s="33">
        <f>K27-R27</f>
        <v>0</v>
      </c>
      <c r="W27" s="33">
        <f>SUM(U27:V27)</f>
        <v>213.51999999999998</v>
      </c>
      <c r="X27" s="33">
        <f>N27-Q27-S27</f>
        <v>0</v>
      </c>
      <c r="Y27" s="33">
        <f>O27-R27</f>
        <v>0</v>
      </c>
      <c r="Z27" s="33">
        <f>SUM(X27:Y27)</f>
        <v>0</v>
      </c>
      <c r="AA27" s="33">
        <v>50</v>
      </c>
      <c r="AB27" s="33">
        <v>100</v>
      </c>
      <c r="AC27" s="34">
        <f t="shared" si="0"/>
        <v>150</v>
      </c>
      <c r="AD27" s="317"/>
      <c r="AE27" s="34">
        <f t="shared" si="1"/>
        <v>150</v>
      </c>
      <c r="AF27" s="34"/>
      <c r="AG27" s="80"/>
      <c r="AH27" s="81"/>
    </row>
    <row r="28" spans="1:34" ht="46.5" hidden="1">
      <c r="A28" s="84">
        <v>1</v>
      </c>
      <c r="B28" s="29" t="s">
        <v>92</v>
      </c>
      <c r="C28" s="29" t="s">
        <v>96</v>
      </c>
      <c r="D28" s="29" t="s">
        <v>60</v>
      </c>
      <c r="E28" s="85" t="s">
        <v>97</v>
      </c>
      <c r="F28" s="86">
        <v>1</v>
      </c>
      <c r="G28" s="86"/>
      <c r="H28" s="70" t="s">
        <v>49</v>
      </c>
      <c r="I28" s="70" t="s">
        <v>49</v>
      </c>
      <c r="J28" s="44">
        <f>1560*3</f>
        <v>4680</v>
      </c>
      <c r="K28" s="321"/>
      <c r="L28" s="44">
        <f t="shared" ref="L28:L41" si="14">SUM(J28:K28)</f>
        <v>4680</v>
      </c>
      <c r="M28" s="44"/>
      <c r="N28" s="44">
        <v>3889.88</v>
      </c>
      <c r="O28" s="321"/>
      <c r="P28" s="44">
        <f>N28+O28</f>
        <v>3889.88</v>
      </c>
      <c r="Q28" s="44">
        <f>1200+400</f>
        <v>1600</v>
      </c>
      <c r="R28" s="322"/>
      <c r="S28" s="87"/>
      <c r="T28" s="33">
        <f t="shared" ref="T28:T51" si="15">SUM(Q28:S28)</f>
        <v>1600</v>
      </c>
      <c r="U28" s="33">
        <f t="shared" ref="U28:U53" si="16">J28-Q28-S28</f>
        <v>3080</v>
      </c>
      <c r="V28" s="33">
        <f t="shared" ref="V28:V53" si="17">K28-R28</f>
        <v>0</v>
      </c>
      <c r="W28" s="33">
        <f t="shared" ref="W28:W56" si="18">SUM(U28:V28)</f>
        <v>3080</v>
      </c>
      <c r="X28" s="33">
        <f t="shared" ref="X28:X53" si="19">N28-Q28-S28</f>
        <v>2289.88</v>
      </c>
      <c r="Y28" s="33">
        <f t="shared" ref="Y28:Y53" si="20">O28-R28</f>
        <v>0</v>
      </c>
      <c r="Z28" s="33">
        <f t="shared" ref="Z28:Z56" si="21">SUM(X28:Y28)</f>
        <v>2289.88</v>
      </c>
      <c r="AA28" s="33"/>
      <c r="AB28" s="33">
        <v>300</v>
      </c>
      <c r="AC28" s="34">
        <f t="shared" si="0"/>
        <v>300</v>
      </c>
      <c r="AD28" s="317"/>
      <c r="AE28" s="34">
        <f t="shared" si="1"/>
        <v>300</v>
      </c>
      <c r="AF28" s="34"/>
      <c r="AG28" s="88"/>
      <c r="AH28" s="46"/>
    </row>
    <row r="29" spans="1:34" ht="23.25" hidden="1">
      <c r="A29" s="84">
        <v>2</v>
      </c>
      <c r="B29" s="29" t="s">
        <v>92</v>
      </c>
      <c r="C29" s="29" t="s">
        <v>98</v>
      </c>
      <c r="D29" s="29" t="s">
        <v>94</v>
      </c>
      <c r="E29" s="75" t="s">
        <v>99</v>
      </c>
      <c r="F29" s="42">
        <v>1</v>
      </c>
      <c r="G29" s="42"/>
      <c r="H29" s="43" t="s">
        <v>100</v>
      </c>
      <c r="I29" s="43" t="s">
        <v>100</v>
      </c>
      <c r="J29" s="44">
        <v>19568</v>
      </c>
      <c r="K29" s="321"/>
      <c r="L29" s="33">
        <f t="shared" si="14"/>
        <v>19568</v>
      </c>
      <c r="M29" s="33"/>
      <c r="N29" s="44">
        <v>13458.08</v>
      </c>
      <c r="O29" s="321"/>
      <c r="P29" s="33">
        <f t="shared" ref="P29:P39" si="22">SUM(N29:O29)</f>
        <v>13458.08</v>
      </c>
      <c r="Q29" s="44">
        <f>13458.08+100</f>
        <v>13558.08</v>
      </c>
      <c r="R29" s="317"/>
      <c r="S29" s="33"/>
      <c r="T29" s="33">
        <f t="shared" si="15"/>
        <v>13558.08</v>
      </c>
      <c r="U29" s="33">
        <f t="shared" si="16"/>
        <v>6009.92</v>
      </c>
      <c r="V29" s="33">
        <f t="shared" si="17"/>
        <v>0</v>
      </c>
      <c r="W29" s="33">
        <f t="shared" si="18"/>
        <v>6009.92</v>
      </c>
      <c r="X29" s="33">
        <f t="shared" si="19"/>
        <v>-100</v>
      </c>
      <c r="Y29" s="33">
        <f t="shared" si="20"/>
        <v>0</v>
      </c>
      <c r="Z29" s="33">
        <f t="shared" si="21"/>
        <v>-100</v>
      </c>
      <c r="AA29" s="33">
        <v>100</v>
      </c>
      <c r="AB29" s="33">
        <v>100</v>
      </c>
      <c r="AC29" s="34">
        <f t="shared" si="0"/>
        <v>200</v>
      </c>
      <c r="AD29" s="317"/>
      <c r="AE29" s="34">
        <f t="shared" si="1"/>
        <v>200</v>
      </c>
      <c r="AF29" s="34"/>
      <c r="AG29" s="88"/>
      <c r="AH29" s="46"/>
    </row>
    <row r="30" spans="1:34" ht="23.25" hidden="1">
      <c r="A30" s="84">
        <v>3</v>
      </c>
      <c r="B30" s="29" t="s">
        <v>92</v>
      </c>
      <c r="C30" s="29" t="s">
        <v>101</v>
      </c>
      <c r="D30" s="29" t="s">
        <v>94</v>
      </c>
      <c r="E30" s="75" t="s">
        <v>102</v>
      </c>
      <c r="F30" s="86">
        <v>1</v>
      </c>
      <c r="G30" s="86"/>
      <c r="H30" s="43" t="s">
        <v>103</v>
      </c>
      <c r="I30" s="43" t="s">
        <v>103</v>
      </c>
      <c r="J30" s="44">
        <v>5000</v>
      </c>
      <c r="K30" s="321"/>
      <c r="L30" s="33">
        <f t="shared" si="14"/>
        <v>5000</v>
      </c>
      <c r="M30" s="33"/>
      <c r="N30" s="44">
        <v>1971.38</v>
      </c>
      <c r="O30" s="321"/>
      <c r="P30" s="33">
        <f t="shared" si="22"/>
        <v>1971.38</v>
      </c>
      <c r="Q30" s="33">
        <f>1050+100</f>
        <v>1150</v>
      </c>
      <c r="R30" s="317"/>
      <c r="S30" s="33"/>
      <c r="T30" s="33">
        <f t="shared" si="15"/>
        <v>1150</v>
      </c>
      <c r="U30" s="33">
        <f t="shared" si="16"/>
        <v>3850</v>
      </c>
      <c r="V30" s="33">
        <f t="shared" si="17"/>
        <v>0</v>
      </c>
      <c r="W30" s="33">
        <f t="shared" si="18"/>
        <v>3850</v>
      </c>
      <c r="X30" s="33">
        <f t="shared" si="19"/>
        <v>821.38000000000011</v>
      </c>
      <c r="Y30" s="33">
        <f t="shared" si="20"/>
        <v>0</v>
      </c>
      <c r="Z30" s="33">
        <f t="shared" si="21"/>
        <v>821.38000000000011</v>
      </c>
      <c r="AA30" s="33">
        <v>100</v>
      </c>
      <c r="AB30" s="33">
        <v>100</v>
      </c>
      <c r="AC30" s="34">
        <f t="shared" si="0"/>
        <v>200</v>
      </c>
      <c r="AD30" s="317"/>
      <c r="AE30" s="34">
        <f t="shared" si="1"/>
        <v>200</v>
      </c>
      <c r="AF30" s="34"/>
      <c r="AG30" s="88"/>
      <c r="AH30" s="46"/>
    </row>
    <row r="31" spans="1:34" ht="23.25" hidden="1">
      <c r="A31" s="84">
        <v>4</v>
      </c>
      <c r="B31" s="29" t="s">
        <v>92</v>
      </c>
      <c r="C31" s="29" t="s">
        <v>104</v>
      </c>
      <c r="D31" s="29" t="s">
        <v>94</v>
      </c>
      <c r="E31" s="47" t="s">
        <v>105</v>
      </c>
      <c r="F31" s="86">
        <v>1</v>
      </c>
      <c r="G31" s="86"/>
      <c r="H31" s="43" t="s">
        <v>106</v>
      </c>
      <c r="I31" s="43" t="s">
        <v>106</v>
      </c>
      <c r="J31" s="44">
        <v>4995</v>
      </c>
      <c r="K31" s="317"/>
      <c r="L31" s="33">
        <f t="shared" si="14"/>
        <v>4995</v>
      </c>
      <c r="M31" s="33"/>
      <c r="N31" s="44">
        <v>4309.95</v>
      </c>
      <c r="O31" s="317"/>
      <c r="P31" s="33">
        <f t="shared" si="22"/>
        <v>4309.95</v>
      </c>
      <c r="Q31" s="33">
        <f>1870+100</f>
        <v>1970</v>
      </c>
      <c r="R31" s="317"/>
      <c r="S31" s="33"/>
      <c r="T31" s="33">
        <f t="shared" si="15"/>
        <v>1970</v>
      </c>
      <c r="U31" s="33">
        <f t="shared" si="16"/>
        <v>3025</v>
      </c>
      <c r="V31" s="33">
        <f t="shared" si="17"/>
        <v>0</v>
      </c>
      <c r="W31" s="33">
        <f t="shared" si="18"/>
        <v>3025</v>
      </c>
      <c r="X31" s="33">
        <f t="shared" si="19"/>
        <v>2339.9499999999998</v>
      </c>
      <c r="Y31" s="33">
        <f t="shared" si="20"/>
        <v>0</v>
      </c>
      <c r="Z31" s="33">
        <f t="shared" si="21"/>
        <v>2339.9499999999998</v>
      </c>
      <c r="AA31" s="33">
        <v>100</v>
      </c>
      <c r="AB31" s="33">
        <v>100</v>
      </c>
      <c r="AC31" s="34">
        <f t="shared" si="0"/>
        <v>200</v>
      </c>
      <c r="AD31" s="317"/>
      <c r="AE31" s="34">
        <f t="shared" si="1"/>
        <v>200</v>
      </c>
      <c r="AF31" s="34"/>
      <c r="AG31" s="88"/>
      <c r="AH31" s="46"/>
    </row>
    <row r="32" spans="1:34" ht="23.25" hidden="1">
      <c r="A32" s="84">
        <v>5</v>
      </c>
      <c r="B32" s="29" t="s">
        <v>92</v>
      </c>
      <c r="C32" s="29" t="s">
        <v>107</v>
      </c>
      <c r="D32" s="29" t="s">
        <v>94</v>
      </c>
      <c r="E32" s="47" t="s">
        <v>108</v>
      </c>
      <c r="F32" s="42">
        <v>1</v>
      </c>
      <c r="G32" s="42"/>
      <c r="H32" s="43" t="s">
        <v>106</v>
      </c>
      <c r="I32" s="43" t="s">
        <v>106</v>
      </c>
      <c r="J32" s="44">
        <v>2027</v>
      </c>
      <c r="K32" s="317"/>
      <c r="L32" s="33">
        <f t="shared" si="14"/>
        <v>2027</v>
      </c>
      <c r="M32" s="33"/>
      <c r="N32" s="44">
        <v>1832.51</v>
      </c>
      <c r="O32" s="317"/>
      <c r="P32" s="33">
        <f t="shared" si="22"/>
        <v>1832.51</v>
      </c>
      <c r="Q32" s="33">
        <f>1207.06+234.33</f>
        <v>1441.3899999999999</v>
      </c>
      <c r="R32" s="317"/>
      <c r="S32" s="33"/>
      <c r="T32" s="33">
        <f t="shared" si="15"/>
        <v>1441.3899999999999</v>
      </c>
      <c r="U32" s="33">
        <f t="shared" si="16"/>
        <v>585.61000000000013</v>
      </c>
      <c r="V32" s="33">
        <f t="shared" si="17"/>
        <v>0</v>
      </c>
      <c r="W32" s="33">
        <f t="shared" si="18"/>
        <v>585.61000000000013</v>
      </c>
      <c r="X32" s="33">
        <f t="shared" si="19"/>
        <v>391.12000000000012</v>
      </c>
      <c r="Y32" s="33">
        <f t="shared" si="20"/>
        <v>0</v>
      </c>
      <c r="Z32" s="33">
        <f t="shared" si="21"/>
        <v>391.12000000000012</v>
      </c>
      <c r="AA32" s="33"/>
      <c r="AB32" s="33">
        <v>100</v>
      </c>
      <c r="AC32" s="34">
        <f t="shared" si="0"/>
        <v>100</v>
      </c>
      <c r="AD32" s="317"/>
      <c r="AE32" s="34">
        <f t="shared" si="1"/>
        <v>100</v>
      </c>
      <c r="AF32" s="34"/>
      <c r="AG32" s="88"/>
      <c r="AH32" s="46"/>
    </row>
    <row r="33" spans="1:34" ht="23.25" hidden="1">
      <c r="A33" s="84">
        <v>6</v>
      </c>
      <c r="B33" s="29" t="s">
        <v>92</v>
      </c>
      <c r="C33" s="29" t="s">
        <v>109</v>
      </c>
      <c r="D33" s="29" t="s">
        <v>94</v>
      </c>
      <c r="E33" s="75" t="s">
        <v>110</v>
      </c>
      <c r="F33" s="86">
        <v>1</v>
      </c>
      <c r="G33" s="86"/>
      <c r="H33" s="43" t="s">
        <v>42</v>
      </c>
      <c r="I33" s="43" t="s">
        <v>42</v>
      </c>
      <c r="J33" s="44">
        <v>3302</v>
      </c>
      <c r="K33" s="321"/>
      <c r="L33" s="33">
        <f t="shared" si="14"/>
        <v>3302</v>
      </c>
      <c r="M33" s="33"/>
      <c r="N33" s="44">
        <v>950.26</v>
      </c>
      <c r="O33" s="321"/>
      <c r="P33" s="33">
        <f t="shared" si="22"/>
        <v>950.26</v>
      </c>
      <c r="Q33" s="33">
        <f>646.13+100</f>
        <v>746.13</v>
      </c>
      <c r="R33" s="317"/>
      <c r="S33" s="33"/>
      <c r="T33" s="33">
        <f t="shared" si="15"/>
        <v>746.13</v>
      </c>
      <c r="U33" s="33">
        <f t="shared" si="16"/>
        <v>2555.87</v>
      </c>
      <c r="V33" s="33">
        <f t="shared" si="17"/>
        <v>0</v>
      </c>
      <c r="W33" s="33">
        <f t="shared" si="18"/>
        <v>2555.87</v>
      </c>
      <c r="X33" s="33">
        <f t="shared" si="19"/>
        <v>204.13</v>
      </c>
      <c r="Y33" s="33">
        <f t="shared" si="20"/>
        <v>0</v>
      </c>
      <c r="Z33" s="33">
        <f t="shared" si="21"/>
        <v>204.13</v>
      </c>
      <c r="AA33" s="33"/>
      <c r="AB33" s="33">
        <v>100</v>
      </c>
      <c r="AC33" s="34">
        <f t="shared" si="0"/>
        <v>100</v>
      </c>
      <c r="AD33" s="317"/>
      <c r="AE33" s="34">
        <f t="shared" si="1"/>
        <v>100</v>
      </c>
      <c r="AF33" s="34"/>
      <c r="AG33" s="88"/>
      <c r="AH33" s="46"/>
    </row>
    <row r="34" spans="1:34" ht="23.25" hidden="1">
      <c r="A34" s="84">
        <v>7</v>
      </c>
      <c r="B34" s="29" t="s">
        <v>92</v>
      </c>
      <c r="C34" s="29" t="s">
        <v>111</v>
      </c>
      <c r="D34" s="29" t="s">
        <v>94</v>
      </c>
      <c r="E34" s="75" t="s">
        <v>112</v>
      </c>
      <c r="F34" s="42">
        <v>1</v>
      </c>
      <c r="G34" s="42"/>
      <c r="H34" s="43" t="s">
        <v>46</v>
      </c>
      <c r="I34" s="43" t="s">
        <v>46</v>
      </c>
      <c r="J34" s="44">
        <v>4868</v>
      </c>
      <c r="K34" s="321"/>
      <c r="L34" s="33">
        <f t="shared" si="14"/>
        <v>4868</v>
      </c>
      <c r="M34" s="33"/>
      <c r="N34" s="78">
        <v>1642.45</v>
      </c>
      <c r="O34" s="321"/>
      <c r="P34" s="33">
        <f t="shared" si="22"/>
        <v>1642.45</v>
      </c>
      <c r="Q34" s="33">
        <f>500+187</f>
        <v>687</v>
      </c>
      <c r="R34" s="317"/>
      <c r="S34" s="33"/>
      <c r="T34" s="33">
        <f t="shared" si="15"/>
        <v>687</v>
      </c>
      <c r="U34" s="33">
        <f t="shared" si="16"/>
        <v>4181</v>
      </c>
      <c r="V34" s="33">
        <f t="shared" si="17"/>
        <v>0</v>
      </c>
      <c r="W34" s="33">
        <f t="shared" si="18"/>
        <v>4181</v>
      </c>
      <c r="X34" s="33">
        <f t="shared" si="19"/>
        <v>955.45</v>
      </c>
      <c r="Y34" s="33">
        <f t="shared" si="20"/>
        <v>0</v>
      </c>
      <c r="Z34" s="33">
        <f t="shared" si="21"/>
        <v>955.45</v>
      </c>
      <c r="AA34" s="33"/>
      <c r="AB34" s="33">
        <v>955</v>
      </c>
      <c r="AC34" s="34">
        <f t="shared" si="0"/>
        <v>955</v>
      </c>
      <c r="AD34" s="317"/>
      <c r="AE34" s="34">
        <f t="shared" si="1"/>
        <v>955</v>
      </c>
      <c r="AF34" s="34"/>
      <c r="AG34" s="88"/>
      <c r="AH34" s="46"/>
    </row>
    <row r="35" spans="1:34" ht="46.5" hidden="1">
      <c r="A35" s="84">
        <v>8</v>
      </c>
      <c r="B35" s="29" t="s">
        <v>92</v>
      </c>
      <c r="C35" s="29" t="s">
        <v>113</v>
      </c>
      <c r="D35" s="29" t="s">
        <v>94</v>
      </c>
      <c r="E35" s="30" t="s">
        <v>114</v>
      </c>
      <c r="F35" s="86">
        <v>1</v>
      </c>
      <c r="G35" s="86"/>
      <c r="H35" s="43" t="s">
        <v>46</v>
      </c>
      <c r="I35" s="43" t="s">
        <v>46</v>
      </c>
      <c r="J35" s="89">
        <v>1800</v>
      </c>
      <c r="K35" s="321"/>
      <c r="L35" s="33">
        <f t="shared" si="14"/>
        <v>1800</v>
      </c>
      <c r="M35" s="33"/>
      <c r="N35" s="78">
        <v>712.43</v>
      </c>
      <c r="O35" s="321"/>
      <c r="P35" s="33">
        <f t="shared" si="22"/>
        <v>712.43</v>
      </c>
      <c r="Q35" s="33">
        <f>500+200</f>
        <v>700</v>
      </c>
      <c r="R35" s="317"/>
      <c r="S35" s="33"/>
      <c r="T35" s="33">
        <f t="shared" si="15"/>
        <v>700</v>
      </c>
      <c r="U35" s="33">
        <f t="shared" si="16"/>
        <v>1100</v>
      </c>
      <c r="V35" s="33">
        <f t="shared" si="17"/>
        <v>0</v>
      </c>
      <c r="W35" s="33">
        <f t="shared" si="18"/>
        <v>1100</v>
      </c>
      <c r="X35" s="33">
        <f t="shared" si="19"/>
        <v>12.42999999999995</v>
      </c>
      <c r="Y35" s="33">
        <f t="shared" si="20"/>
        <v>0</v>
      </c>
      <c r="Z35" s="33">
        <f t="shared" si="21"/>
        <v>12.42999999999995</v>
      </c>
      <c r="AA35" s="33"/>
      <c r="AB35" s="33">
        <v>100</v>
      </c>
      <c r="AC35" s="34">
        <f t="shared" si="0"/>
        <v>100</v>
      </c>
      <c r="AD35" s="317"/>
      <c r="AE35" s="34">
        <f t="shared" si="1"/>
        <v>100</v>
      </c>
      <c r="AF35" s="34"/>
      <c r="AG35" s="88"/>
      <c r="AH35" s="46"/>
    </row>
    <row r="36" spans="1:34" ht="23.25" hidden="1">
      <c r="A36" s="84">
        <v>9</v>
      </c>
      <c r="B36" s="29" t="s">
        <v>92</v>
      </c>
      <c r="C36" s="29" t="s">
        <v>115</v>
      </c>
      <c r="D36" s="29" t="s">
        <v>116</v>
      </c>
      <c r="E36" s="75" t="s">
        <v>117</v>
      </c>
      <c r="F36" s="42">
        <v>1</v>
      </c>
      <c r="G36" s="42"/>
      <c r="H36" s="43" t="s">
        <v>46</v>
      </c>
      <c r="I36" s="43" t="s">
        <v>46</v>
      </c>
      <c r="J36" s="89">
        <v>4782</v>
      </c>
      <c r="K36" s="321"/>
      <c r="L36" s="33">
        <f t="shared" si="14"/>
        <v>4782</v>
      </c>
      <c r="M36" s="33"/>
      <c r="N36" s="78">
        <v>2433.7199999999998</v>
      </c>
      <c r="O36" s="321"/>
      <c r="P36" s="33">
        <f t="shared" si="22"/>
        <v>2433.7199999999998</v>
      </c>
      <c r="Q36" s="33">
        <f>500+180</f>
        <v>680</v>
      </c>
      <c r="R36" s="317"/>
      <c r="S36" s="33"/>
      <c r="T36" s="33">
        <f t="shared" si="15"/>
        <v>680</v>
      </c>
      <c r="U36" s="33">
        <f t="shared" si="16"/>
        <v>4102</v>
      </c>
      <c r="V36" s="33">
        <f t="shared" si="17"/>
        <v>0</v>
      </c>
      <c r="W36" s="33">
        <f t="shared" si="18"/>
        <v>4102</v>
      </c>
      <c r="X36" s="33">
        <f t="shared" si="19"/>
        <v>1753.7199999999998</v>
      </c>
      <c r="Y36" s="33">
        <f t="shared" si="20"/>
        <v>0</v>
      </c>
      <c r="Z36" s="33">
        <f t="shared" si="21"/>
        <v>1753.7199999999998</v>
      </c>
      <c r="AA36" s="33"/>
      <c r="AB36" s="33">
        <v>100</v>
      </c>
      <c r="AC36" s="34">
        <f t="shared" si="0"/>
        <v>100</v>
      </c>
      <c r="AD36" s="317"/>
      <c r="AE36" s="34">
        <f t="shared" si="1"/>
        <v>100</v>
      </c>
      <c r="AF36" s="34"/>
      <c r="AG36" s="88"/>
      <c r="AH36" s="46"/>
    </row>
    <row r="37" spans="1:34" ht="46.5" hidden="1">
      <c r="A37" s="84">
        <v>10</v>
      </c>
      <c r="B37" s="29" t="s">
        <v>92</v>
      </c>
      <c r="C37" s="29" t="s">
        <v>118</v>
      </c>
      <c r="D37" s="29" t="s">
        <v>116</v>
      </c>
      <c r="E37" s="30" t="s">
        <v>119</v>
      </c>
      <c r="F37" s="86">
        <v>1</v>
      </c>
      <c r="G37" s="86"/>
      <c r="H37" s="43" t="s">
        <v>46</v>
      </c>
      <c r="I37" s="43" t="s">
        <v>46</v>
      </c>
      <c r="J37" s="89">
        <v>4993</v>
      </c>
      <c r="K37" s="321"/>
      <c r="L37" s="33">
        <f t="shared" si="14"/>
        <v>4993</v>
      </c>
      <c r="M37" s="33"/>
      <c r="N37" s="78">
        <v>2175.9299999999998</v>
      </c>
      <c r="O37" s="321"/>
      <c r="P37" s="33">
        <f t="shared" si="22"/>
        <v>2175.9299999999998</v>
      </c>
      <c r="Q37" s="33">
        <f>500+150</f>
        <v>650</v>
      </c>
      <c r="R37" s="317"/>
      <c r="S37" s="33"/>
      <c r="T37" s="33">
        <f t="shared" si="15"/>
        <v>650</v>
      </c>
      <c r="U37" s="33">
        <f t="shared" si="16"/>
        <v>4343</v>
      </c>
      <c r="V37" s="33">
        <f t="shared" si="17"/>
        <v>0</v>
      </c>
      <c r="W37" s="33">
        <f t="shared" si="18"/>
        <v>4343</v>
      </c>
      <c r="X37" s="33">
        <f t="shared" si="19"/>
        <v>1525.9299999999998</v>
      </c>
      <c r="Y37" s="33">
        <f t="shared" si="20"/>
        <v>0</v>
      </c>
      <c r="Z37" s="33">
        <f t="shared" si="21"/>
        <v>1525.9299999999998</v>
      </c>
      <c r="AA37" s="33"/>
      <c r="AB37" s="33">
        <v>100</v>
      </c>
      <c r="AC37" s="34">
        <f t="shared" si="0"/>
        <v>100</v>
      </c>
      <c r="AD37" s="317"/>
      <c r="AE37" s="34">
        <f t="shared" si="1"/>
        <v>100</v>
      </c>
      <c r="AF37" s="34"/>
      <c r="AG37" s="83"/>
      <c r="AH37" s="81"/>
    </row>
    <row r="38" spans="1:34" ht="23.25" hidden="1">
      <c r="A38" s="84">
        <v>11</v>
      </c>
      <c r="B38" s="29" t="s">
        <v>92</v>
      </c>
      <c r="C38" s="29" t="s">
        <v>120</v>
      </c>
      <c r="D38" s="29" t="s">
        <v>116</v>
      </c>
      <c r="E38" s="30" t="s">
        <v>121</v>
      </c>
      <c r="F38" s="42">
        <v>1</v>
      </c>
      <c r="G38" s="42"/>
      <c r="H38" s="43" t="s">
        <v>46</v>
      </c>
      <c r="I38" s="43" t="s">
        <v>46</v>
      </c>
      <c r="J38" s="89">
        <v>4992</v>
      </c>
      <c r="K38" s="321"/>
      <c r="L38" s="33">
        <f t="shared" si="14"/>
        <v>4992</v>
      </c>
      <c r="M38" s="33"/>
      <c r="N38" s="78">
        <v>3986.06</v>
      </c>
      <c r="O38" s="321"/>
      <c r="P38" s="33">
        <f t="shared" si="22"/>
        <v>3986.06</v>
      </c>
      <c r="Q38" s="33">
        <f>450+150</f>
        <v>600</v>
      </c>
      <c r="R38" s="317"/>
      <c r="S38" s="33"/>
      <c r="T38" s="33">
        <f t="shared" si="15"/>
        <v>600</v>
      </c>
      <c r="U38" s="33">
        <f t="shared" si="16"/>
        <v>4392</v>
      </c>
      <c r="V38" s="33">
        <f t="shared" si="17"/>
        <v>0</v>
      </c>
      <c r="W38" s="33">
        <f t="shared" si="18"/>
        <v>4392</v>
      </c>
      <c r="X38" s="33">
        <f t="shared" si="19"/>
        <v>3386.06</v>
      </c>
      <c r="Y38" s="33">
        <f t="shared" si="20"/>
        <v>0</v>
      </c>
      <c r="Z38" s="33">
        <f t="shared" si="21"/>
        <v>3386.06</v>
      </c>
      <c r="AA38" s="33"/>
      <c r="AB38" s="33">
        <v>100</v>
      </c>
      <c r="AC38" s="34">
        <f t="shared" si="0"/>
        <v>100</v>
      </c>
      <c r="AD38" s="317"/>
      <c r="AE38" s="34">
        <f t="shared" si="1"/>
        <v>100</v>
      </c>
      <c r="AF38" s="34"/>
      <c r="AG38" s="88"/>
      <c r="AH38" s="46"/>
    </row>
    <row r="39" spans="1:34" ht="23.25" hidden="1">
      <c r="A39" s="84">
        <v>12</v>
      </c>
      <c r="B39" s="29" t="s">
        <v>92</v>
      </c>
      <c r="C39" s="29" t="s">
        <v>122</v>
      </c>
      <c r="D39" s="29" t="s">
        <v>116</v>
      </c>
      <c r="E39" s="30" t="s">
        <v>123</v>
      </c>
      <c r="F39" s="86">
        <v>1</v>
      </c>
      <c r="G39" s="86"/>
      <c r="H39" s="43" t="s">
        <v>46</v>
      </c>
      <c r="I39" s="43" t="s">
        <v>46</v>
      </c>
      <c r="J39" s="89">
        <v>4972</v>
      </c>
      <c r="K39" s="321"/>
      <c r="L39" s="33">
        <f t="shared" si="14"/>
        <v>4972</v>
      </c>
      <c r="M39" s="33"/>
      <c r="N39" s="78">
        <v>3022.22</v>
      </c>
      <c r="O39" s="321"/>
      <c r="P39" s="33">
        <f t="shared" si="22"/>
        <v>3022.22</v>
      </c>
      <c r="Q39" s="33">
        <f>500+150</f>
        <v>650</v>
      </c>
      <c r="R39" s="317"/>
      <c r="S39" s="33"/>
      <c r="T39" s="33">
        <f t="shared" si="15"/>
        <v>650</v>
      </c>
      <c r="U39" s="33">
        <f t="shared" si="16"/>
        <v>4322</v>
      </c>
      <c r="V39" s="33">
        <f t="shared" si="17"/>
        <v>0</v>
      </c>
      <c r="W39" s="33">
        <f t="shared" si="18"/>
        <v>4322</v>
      </c>
      <c r="X39" s="33">
        <f t="shared" si="19"/>
        <v>2372.2199999999998</v>
      </c>
      <c r="Y39" s="33">
        <f t="shared" si="20"/>
        <v>0</v>
      </c>
      <c r="Z39" s="33">
        <f t="shared" si="21"/>
        <v>2372.2199999999998</v>
      </c>
      <c r="AA39" s="33"/>
      <c r="AB39" s="33">
        <v>100</v>
      </c>
      <c r="AC39" s="34">
        <f t="shared" si="0"/>
        <v>100</v>
      </c>
      <c r="AD39" s="317"/>
      <c r="AE39" s="34">
        <f t="shared" si="1"/>
        <v>100</v>
      </c>
      <c r="AF39" s="34"/>
      <c r="AG39" s="88"/>
      <c r="AH39" s="46"/>
    </row>
    <row r="40" spans="1:34" ht="46.5" hidden="1">
      <c r="A40" s="84">
        <v>13</v>
      </c>
      <c r="B40" s="29" t="s">
        <v>92</v>
      </c>
      <c r="C40" s="29" t="s">
        <v>124</v>
      </c>
      <c r="D40" s="29" t="s">
        <v>125</v>
      </c>
      <c r="E40" s="30" t="s">
        <v>126</v>
      </c>
      <c r="F40" s="42">
        <v>1</v>
      </c>
      <c r="G40" s="42"/>
      <c r="H40" s="43" t="s">
        <v>49</v>
      </c>
      <c r="I40" s="43" t="s">
        <v>49</v>
      </c>
      <c r="J40" s="44">
        <v>4117</v>
      </c>
      <c r="K40" s="321"/>
      <c r="L40" s="33">
        <f t="shared" si="14"/>
        <v>4117</v>
      </c>
      <c r="M40" s="33"/>
      <c r="N40" s="44">
        <v>150</v>
      </c>
      <c r="O40" s="321"/>
      <c r="P40" s="33">
        <f>N40+O40</f>
        <v>150</v>
      </c>
      <c r="Q40" s="33">
        <v>150</v>
      </c>
      <c r="R40" s="317"/>
      <c r="S40" s="33"/>
      <c r="T40" s="33">
        <f t="shared" si="15"/>
        <v>150</v>
      </c>
      <c r="U40" s="33">
        <f t="shared" si="16"/>
        <v>3967</v>
      </c>
      <c r="V40" s="33">
        <f t="shared" si="17"/>
        <v>0</v>
      </c>
      <c r="W40" s="33">
        <f t="shared" si="18"/>
        <v>3967</v>
      </c>
      <c r="X40" s="33">
        <f t="shared" si="19"/>
        <v>0</v>
      </c>
      <c r="Y40" s="33">
        <f t="shared" si="20"/>
        <v>0</v>
      </c>
      <c r="Z40" s="33">
        <f t="shared" si="21"/>
        <v>0</v>
      </c>
      <c r="AA40" s="33">
        <v>150</v>
      </c>
      <c r="AB40" s="33">
        <v>100</v>
      </c>
      <c r="AC40" s="34">
        <f t="shared" si="0"/>
        <v>250</v>
      </c>
      <c r="AD40" s="317"/>
      <c r="AE40" s="34">
        <f t="shared" si="1"/>
        <v>250</v>
      </c>
      <c r="AF40" s="34"/>
      <c r="AG40" s="88"/>
      <c r="AH40" s="46"/>
    </row>
    <row r="41" spans="1:34" ht="23.25" hidden="1">
      <c r="A41" s="84">
        <v>14</v>
      </c>
      <c r="B41" s="29" t="s">
        <v>92</v>
      </c>
      <c r="C41" s="29" t="s">
        <v>127</v>
      </c>
      <c r="D41" s="29" t="s">
        <v>125</v>
      </c>
      <c r="E41" s="30" t="s">
        <v>128</v>
      </c>
      <c r="F41" s="86">
        <v>1</v>
      </c>
      <c r="G41" s="86"/>
      <c r="H41" s="43" t="s">
        <v>49</v>
      </c>
      <c r="I41" s="43" t="s">
        <v>49</v>
      </c>
      <c r="J41" s="44">
        <v>3600</v>
      </c>
      <c r="K41" s="321"/>
      <c r="L41" s="33">
        <f t="shared" si="14"/>
        <v>3600</v>
      </c>
      <c r="M41" s="33"/>
      <c r="N41" s="44">
        <v>1136</v>
      </c>
      <c r="O41" s="321"/>
      <c r="P41" s="33">
        <f>N41+O41</f>
        <v>1136</v>
      </c>
      <c r="Q41" s="33">
        <f>350+200</f>
        <v>550</v>
      </c>
      <c r="R41" s="317"/>
      <c r="S41" s="33"/>
      <c r="T41" s="33">
        <f t="shared" si="15"/>
        <v>550</v>
      </c>
      <c r="U41" s="33">
        <f t="shared" si="16"/>
        <v>3050</v>
      </c>
      <c r="V41" s="33">
        <f t="shared" si="17"/>
        <v>0</v>
      </c>
      <c r="W41" s="33">
        <f t="shared" si="18"/>
        <v>3050</v>
      </c>
      <c r="X41" s="33">
        <f t="shared" si="19"/>
        <v>586</v>
      </c>
      <c r="Y41" s="33">
        <f t="shared" si="20"/>
        <v>0</v>
      </c>
      <c r="Z41" s="33">
        <f t="shared" si="21"/>
        <v>586</v>
      </c>
      <c r="AA41" s="33"/>
      <c r="AB41" s="33">
        <v>100</v>
      </c>
      <c r="AC41" s="34">
        <f t="shared" si="0"/>
        <v>100</v>
      </c>
      <c r="AD41" s="317"/>
      <c r="AE41" s="34">
        <f t="shared" si="1"/>
        <v>100</v>
      </c>
      <c r="AF41" s="34"/>
      <c r="AG41" s="88"/>
      <c r="AH41" s="46"/>
    </row>
    <row r="42" spans="1:34" ht="23.25" hidden="1">
      <c r="A42" s="84">
        <v>15</v>
      </c>
      <c r="B42" s="29" t="s">
        <v>92</v>
      </c>
      <c r="C42" s="29" t="s">
        <v>129</v>
      </c>
      <c r="D42" s="29" t="s">
        <v>125</v>
      </c>
      <c r="E42" s="30" t="s">
        <v>130</v>
      </c>
      <c r="F42" s="42">
        <v>1</v>
      </c>
      <c r="G42" s="42"/>
      <c r="H42" s="43" t="s">
        <v>131</v>
      </c>
      <c r="I42" s="43" t="s">
        <v>131</v>
      </c>
      <c r="J42" s="44">
        <v>13224.49</v>
      </c>
      <c r="K42" s="321"/>
      <c r="L42" s="33">
        <f>SUM(J42:K42)</f>
        <v>13224.49</v>
      </c>
      <c r="M42" s="33"/>
      <c r="N42" s="44">
        <v>13078.27</v>
      </c>
      <c r="O42" s="321"/>
      <c r="P42" s="33">
        <f>N42+O42</f>
        <v>13078.27</v>
      </c>
      <c r="Q42" s="33">
        <f>200+200</f>
        <v>400</v>
      </c>
      <c r="R42" s="317"/>
      <c r="S42" s="33"/>
      <c r="T42" s="33">
        <f t="shared" si="15"/>
        <v>400</v>
      </c>
      <c r="U42" s="33">
        <f t="shared" si="16"/>
        <v>12824.49</v>
      </c>
      <c r="V42" s="33">
        <f t="shared" si="17"/>
        <v>0</v>
      </c>
      <c r="W42" s="33">
        <f t="shared" si="18"/>
        <v>12824.49</v>
      </c>
      <c r="X42" s="33">
        <f t="shared" si="19"/>
        <v>12678.27</v>
      </c>
      <c r="Y42" s="33">
        <f t="shared" si="20"/>
        <v>0</v>
      </c>
      <c r="Z42" s="33">
        <f t="shared" si="21"/>
        <v>12678.27</v>
      </c>
      <c r="AA42" s="33"/>
      <c r="AB42" s="33">
        <v>200</v>
      </c>
      <c r="AC42" s="34">
        <f t="shared" si="0"/>
        <v>200</v>
      </c>
      <c r="AD42" s="317"/>
      <c r="AE42" s="34">
        <f t="shared" si="1"/>
        <v>200</v>
      </c>
      <c r="AF42" s="34"/>
      <c r="AG42" s="88"/>
      <c r="AH42" s="46"/>
    </row>
    <row r="43" spans="1:34" ht="46.5" hidden="1">
      <c r="A43" s="84">
        <v>16</v>
      </c>
      <c r="B43" s="29" t="s">
        <v>92</v>
      </c>
      <c r="C43" s="29" t="s">
        <v>132</v>
      </c>
      <c r="D43" s="29" t="s">
        <v>94</v>
      </c>
      <c r="E43" s="30" t="s">
        <v>133</v>
      </c>
      <c r="F43" s="86">
        <v>1</v>
      </c>
      <c r="G43" s="86"/>
      <c r="H43" s="43" t="s">
        <v>131</v>
      </c>
      <c r="I43" s="43" t="s">
        <v>131</v>
      </c>
      <c r="J43" s="89">
        <v>4422</v>
      </c>
      <c r="K43" s="321"/>
      <c r="L43" s="33">
        <f>SUM(J43:K43)</f>
        <v>4422</v>
      </c>
      <c r="M43" s="33"/>
      <c r="N43" s="89">
        <v>1399.49</v>
      </c>
      <c r="O43" s="321"/>
      <c r="P43" s="33">
        <f>N43+O43</f>
        <v>1399.49</v>
      </c>
      <c r="Q43" s="33">
        <f>450+150</f>
        <v>600</v>
      </c>
      <c r="R43" s="317"/>
      <c r="S43" s="33"/>
      <c r="T43" s="33">
        <f t="shared" si="15"/>
        <v>600</v>
      </c>
      <c r="U43" s="33">
        <f t="shared" si="16"/>
        <v>3822</v>
      </c>
      <c r="V43" s="33">
        <f t="shared" si="17"/>
        <v>0</v>
      </c>
      <c r="W43" s="33">
        <f t="shared" si="18"/>
        <v>3822</v>
      </c>
      <c r="X43" s="33">
        <f t="shared" si="19"/>
        <v>799.49</v>
      </c>
      <c r="Y43" s="33">
        <f t="shared" si="20"/>
        <v>0</v>
      </c>
      <c r="Z43" s="33">
        <f t="shared" si="21"/>
        <v>799.49</v>
      </c>
      <c r="AA43" s="33">
        <v>150</v>
      </c>
      <c r="AB43" s="33">
        <v>200</v>
      </c>
      <c r="AC43" s="34">
        <f t="shared" si="0"/>
        <v>350</v>
      </c>
      <c r="AD43" s="317"/>
      <c r="AE43" s="34">
        <f t="shared" si="1"/>
        <v>350</v>
      </c>
      <c r="AF43" s="34"/>
      <c r="AG43" s="88"/>
      <c r="AH43" s="46"/>
    </row>
    <row r="44" spans="1:34" ht="46.5" hidden="1">
      <c r="A44" s="84">
        <v>17</v>
      </c>
      <c r="B44" s="29" t="s">
        <v>92</v>
      </c>
      <c r="C44" s="29" t="s">
        <v>134</v>
      </c>
      <c r="D44" s="29" t="s">
        <v>94</v>
      </c>
      <c r="E44" s="30" t="s">
        <v>135</v>
      </c>
      <c r="F44" s="86">
        <v>1</v>
      </c>
      <c r="G44" s="86"/>
      <c r="H44" s="43" t="s">
        <v>67</v>
      </c>
      <c r="I44" s="43" t="s">
        <v>67</v>
      </c>
      <c r="J44" s="89">
        <v>4050</v>
      </c>
      <c r="K44" s="321"/>
      <c r="L44" s="33">
        <f>SUM(J44:K44)</f>
        <v>4050</v>
      </c>
      <c r="M44" s="33"/>
      <c r="N44" s="44">
        <v>2935.6</v>
      </c>
      <c r="O44" s="321"/>
      <c r="P44" s="33">
        <f>SUM(N44:O44)</f>
        <v>2935.6</v>
      </c>
      <c r="Q44" s="33">
        <f>400+200</f>
        <v>600</v>
      </c>
      <c r="R44" s="317"/>
      <c r="S44" s="33"/>
      <c r="T44" s="33">
        <f t="shared" si="15"/>
        <v>600</v>
      </c>
      <c r="U44" s="33">
        <f t="shared" si="16"/>
        <v>3450</v>
      </c>
      <c r="V44" s="33">
        <f t="shared" si="17"/>
        <v>0</v>
      </c>
      <c r="W44" s="33">
        <f t="shared" si="18"/>
        <v>3450</v>
      </c>
      <c r="X44" s="33">
        <f t="shared" si="19"/>
        <v>2335.6</v>
      </c>
      <c r="Y44" s="33">
        <f t="shared" si="20"/>
        <v>0</v>
      </c>
      <c r="Z44" s="33">
        <f t="shared" si="21"/>
        <v>2335.6</v>
      </c>
      <c r="AA44" s="33"/>
      <c r="AB44" s="33">
        <v>100</v>
      </c>
      <c r="AC44" s="34">
        <f t="shared" si="0"/>
        <v>100</v>
      </c>
      <c r="AD44" s="317"/>
      <c r="AE44" s="34">
        <f t="shared" si="1"/>
        <v>100</v>
      </c>
      <c r="AF44" s="34"/>
      <c r="AG44" s="90" t="s">
        <v>37</v>
      </c>
      <c r="AH44" s="91"/>
    </row>
    <row r="45" spans="1:34" ht="69.75" hidden="1">
      <c r="A45" s="84">
        <v>18</v>
      </c>
      <c r="B45" s="29" t="s">
        <v>92</v>
      </c>
      <c r="C45" s="29" t="s">
        <v>136</v>
      </c>
      <c r="D45" s="29" t="s">
        <v>125</v>
      </c>
      <c r="E45" s="92" t="s">
        <v>137</v>
      </c>
      <c r="F45" s="42">
        <v>1</v>
      </c>
      <c r="G45" s="42"/>
      <c r="H45" s="93" t="s">
        <v>74</v>
      </c>
      <c r="I45" s="93" t="s">
        <v>74</v>
      </c>
      <c r="J45" s="94">
        <v>1953</v>
      </c>
      <c r="K45" s="322"/>
      <c r="L45" s="44">
        <f>J45</f>
        <v>1953</v>
      </c>
      <c r="M45" s="44"/>
      <c r="N45" s="44">
        <v>1294.95</v>
      </c>
      <c r="O45" s="321"/>
      <c r="P45" s="44">
        <f t="shared" ref="P45:P53" si="23">SUM(N45:O45)</f>
        <v>1294.95</v>
      </c>
      <c r="Q45" s="44">
        <v>150</v>
      </c>
      <c r="R45" s="321"/>
      <c r="S45" s="44"/>
      <c r="T45" s="33">
        <f t="shared" si="15"/>
        <v>150</v>
      </c>
      <c r="U45" s="33">
        <f t="shared" si="16"/>
        <v>1803</v>
      </c>
      <c r="V45" s="33">
        <f t="shared" si="17"/>
        <v>0</v>
      </c>
      <c r="W45" s="33">
        <f t="shared" si="18"/>
        <v>1803</v>
      </c>
      <c r="X45" s="33">
        <f t="shared" si="19"/>
        <v>1144.95</v>
      </c>
      <c r="Y45" s="33">
        <f t="shared" si="20"/>
        <v>0</v>
      </c>
      <c r="Z45" s="33">
        <f t="shared" si="21"/>
        <v>1144.95</v>
      </c>
      <c r="AA45" s="33"/>
      <c r="AB45" s="33">
        <v>100</v>
      </c>
      <c r="AC45" s="34">
        <f t="shared" si="0"/>
        <v>100</v>
      </c>
      <c r="AD45" s="317"/>
      <c r="AE45" s="34">
        <f t="shared" si="1"/>
        <v>100</v>
      </c>
      <c r="AF45" s="34"/>
      <c r="AG45" s="90" t="s">
        <v>37</v>
      </c>
      <c r="AH45" s="95"/>
    </row>
    <row r="46" spans="1:34" ht="23.25" hidden="1">
      <c r="A46" s="84">
        <v>19</v>
      </c>
      <c r="B46" s="29" t="s">
        <v>92</v>
      </c>
      <c r="C46" s="29" t="s">
        <v>138</v>
      </c>
      <c r="D46" s="29" t="s">
        <v>125</v>
      </c>
      <c r="E46" s="92" t="s">
        <v>139</v>
      </c>
      <c r="F46" s="86">
        <v>1</v>
      </c>
      <c r="G46" s="86"/>
      <c r="H46" s="93" t="s">
        <v>74</v>
      </c>
      <c r="I46" s="93" t="s">
        <v>74</v>
      </c>
      <c r="J46" s="94">
        <v>1959</v>
      </c>
      <c r="K46" s="322"/>
      <c r="L46" s="44">
        <f>J46</f>
        <v>1959</v>
      </c>
      <c r="M46" s="44"/>
      <c r="N46" s="94">
        <v>1959</v>
      </c>
      <c r="O46" s="321"/>
      <c r="P46" s="44">
        <f t="shared" si="23"/>
        <v>1959</v>
      </c>
      <c r="Q46" s="44">
        <v>150</v>
      </c>
      <c r="R46" s="321"/>
      <c r="S46" s="44"/>
      <c r="T46" s="33">
        <f t="shared" si="15"/>
        <v>150</v>
      </c>
      <c r="U46" s="33">
        <f t="shared" si="16"/>
        <v>1809</v>
      </c>
      <c r="V46" s="33">
        <f t="shared" si="17"/>
        <v>0</v>
      </c>
      <c r="W46" s="33">
        <f t="shared" si="18"/>
        <v>1809</v>
      </c>
      <c r="X46" s="33">
        <f t="shared" si="19"/>
        <v>1809</v>
      </c>
      <c r="Y46" s="33">
        <f t="shared" si="20"/>
        <v>0</v>
      </c>
      <c r="Z46" s="33">
        <f t="shared" si="21"/>
        <v>1809</v>
      </c>
      <c r="AA46" s="33">
        <v>150</v>
      </c>
      <c r="AB46" s="33">
        <v>100</v>
      </c>
      <c r="AC46" s="34">
        <f t="shared" si="0"/>
        <v>250</v>
      </c>
      <c r="AD46" s="317"/>
      <c r="AE46" s="34">
        <f t="shared" si="1"/>
        <v>250</v>
      </c>
      <c r="AF46" s="34"/>
      <c r="AG46" s="90" t="s">
        <v>37</v>
      </c>
      <c r="AH46" s="95"/>
    </row>
    <row r="47" spans="1:34" ht="46.5" hidden="1">
      <c r="A47" s="84">
        <v>20</v>
      </c>
      <c r="B47" s="29" t="s">
        <v>92</v>
      </c>
      <c r="C47" s="29" t="s">
        <v>140</v>
      </c>
      <c r="D47" s="29" t="s">
        <v>94</v>
      </c>
      <c r="E47" s="92" t="s">
        <v>141</v>
      </c>
      <c r="F47" s="42">
        <v>1</v>
      </c>
      <c r="G47" s="42"/>
      <c r="H47" s="93" t="s">
        <v>74</v>
      </c>
      <c r="I47" s="93" t="s">
        <v>74</v>
      </c>
      <c r="J47" s="94">
        <v>4632</v>
      </c>
      <c r="K47" s="322"/>
      <c r="L47" s="44">
        <f>J47</f>
        <v>4632</v>
      </c>
      <c r="M47" s="44"/>
      <c r="N47" s="44">
        <f>J47*30/100</f>
        <v>1389.6</v>
      </c>
      <c r="O47" s="321"/>
      <c r="P47" s="44">
        <f t="shared" si="23"/>
        <v>1389.6</v>
      </c>
      <c r="Q47" s="44">
        <v>200</v>
      </c>
      <c r="R47" s="321"/>
      <c r="S47" s="44"/>
      <c r="T47" s="33">
        <f t="shared" si="15"/>
        <v>200</v>
      </c>
      <c r="U47" s="33">
        <f t="shared" si="16"/>
        <v>4432</v>
      </c>
      <c r="V47" s="33">
        <f t="shared" si="17"/>
        <v>0</v>
      </c>
      <c r="W47" s="33">
        <f t="shared" si="18"/>
        <v>4432</v>
      </c>
      <c r="X47" s="33">
        <f t="shared" si="19"/>
        <v>1189.5999999999999</v>
      </c>
      <c r="Y47" s="33">
        <f t="shared" si="20"/>
        <v>0</v>
      </c>
      <c r="Z47" s="33">
        <f t="shared" si="21"/>
        <v>1189.5999999999999</v>
      </c>
      <c r="AA47" s="33">
        <v>200</v>
      </c>
      <c r="AB47" s="33">
        <v>100</v>
      </c>
      <c r="AC47" s="34">
        <f t="shared" si="0"/>
        <v>300</v>
      </c>
      <c r="AD47" s="317"/>
      <c r="AE47" s="34">
        <f t="shared" si="1"/>
        <v>300</v>
      </c>
      <c r="AF47" s="34"/>
      <c r="AG47" s="90" t="s">
        <v>37</v>
      </c>
      <c r="AH47" s="95"/>
    </row>
    <row r="48" spans="1:34" ht="46.5" hidden="1">
      <c r="A48" s="84">
        <v>21</v>
      </c>
      <c r="B48" s="29" t="s">
        <v>92</v>
      </c>
      <c r="C48" s="29" t="s">
        <v>142</v>
      </c>
      <c r="D48" s="29" t="s">
        <v>94</v>
      </c>
      <c r="E48" s="96" t="s">
        <v>143</v>
      </c>
      <c r="F48" s="86">
        <v>1</v>
      </c>
      <c r="G48" s="86"/>
      <c r="H48" s="93" t="s">
        <v>74</v>
      </c>
      <c r="I48" s="93" t="s">
        <v>74</v>
      </c>
      <c r="J48" s="33">
        <v>4999.99</v>
      </c>
      <c r="K48" s="323"/>
      <c r="L48" s="33">
        <f>J48+K48</f>
        <v>4999.99</v>
      </c>
      <c r="M48" s="33"/>
      <c r="N48" s="44">
        <v>4998</v>
      </c>
      <c r="O48" s="321"/>
      <c r="P48" s="44">
        <f t="shared" si="23"/>
        <v>4998</v>
      </c>
      <c r="Q48" s="44">
        <v>100</v>
      </c>
      <c r="R48" s="321"/>
      <c r="S48" s="44"/>
      <c r="T48" s="33">
        <f t="shared" si="15"/>
        <v>100</v>
      </c>
      <c r="U48" s="33">
        <f t="shared" si="16"/>
        <v>4899.99</v>
      </c>
      <c r="V48" s="33">
        <f t="shared" si="17"/>
        <v>0</v>
      </c>
      <c r="W48" s="33">
        <f t="shared" si="18"/>
        <v>4899.99</v>
      </c>
      <c r="X48" s="33">
        <f t="shared" si="19"/>
        <v>4898</v>
      </c>
      <c r="Y48" s="33">
        <f t="shared" si="20"/>
        <v>0</v>
      </c>
      <c r="Z48" s="33">
        <f t="shared" si="21"/>
        <v>4898</v>
      </c>
      <c r="AA48" s="33"/>
      <c r="AB48" s="33">
        <v>100</v>
      </c>
      <c r="AC48" s="34">
        <f t="shared" si="0"/>
        <v>100</v>
      </c>
      <c r="AD48" s="317"/>
      <c r="AE48" s="34">
        <f t="shared" si="1"/>
        <v>100</v>
      </c>
      <c r="AF48" s="34"/>
      <c r="AG48" s="97" t="s">
        <v>37</v>
      </c>
      <c r="AH48" s="98"/>
    </row>
    <row r="49" spans="1:34" ht="23.25" hidden="1">
      <c r="A49" s="84">
        <v>22</v>
      </c>
      <c r="B49" s="29" t="s">
        <v>92</v>
      </c>
      <c r="C49" s="29" t="s">
        <v>144</v>
      </c>
      <c r="D49" s="29" t="s">
        <v>94</v>
      </c>
      <c r="E49" s="96" t="s">
        <v>145</v>
      </c>
      <c r="F49" s="42">
        <v>1</v>
      </c>
      <c r="G49" s="42"/>
      <c r="H49" s="93" t="s">
        <v>74</v>
      </c>
      <c r="I49" s="93" t="s">
        <v>74</v>
      </c>
      <c r="J49" s="33">
        <v>395</v>
      </c>
      <c r="K49" s="323"/>
      <c r="L49" s="33">
        <f>J49+K49</f>
        <v>395</v>
      </c>
      <c r="M49" s="33"/>
      <c r="N49" s="33">
        <v>395</v>
      </c>
      <c r="O49" s="321"/>
      <c r="P49" s="44">
        <f t="shared" si="23"/>
        <v>395</v>
      </c>
      <c r="Q49" s="44">
        <v>100</v>
      </c>
      <c r="R49" s="321"/>
      <c r="S49" s="44"/>
      <c r="T49" s="33">
        <f t="shared" si="15"/>
        <v>100</v>
      </c>
      <c r="U49" s="33">
        <f t="shared" si="16"/>
        <v>295</v>
      </c>
      <c r="V49" s="33">
        <f t="shared" si="17"/>
        <v>0</v>
      </c>
      <c r="W49" s="33">
        <f t="shared" si="18"/>
        <v>295</v>
      </c>
      <c r="X49" s="33">
        <f t="shared" si="19"/>
        <v>295</v>
      </c>
      <c r="Y49" s="33">
        <f t="shared" si="20"/>
        <v>0</v>
      </c>
      <c r="Z49" s="33">
        <f t="shared" si="21"/>
        <v>295</v>
      </c>
      <c r="AA49" s="33"/>
      <c r="AB49" s="33">
        <v>100</v>
      </c>
      <c r="AC49" s="34">
        <f t="shared" si="0"/>
        <v>100</v>
      </c>
      <c r="AD49" s="317"/>
      <c r="AE49" s="34">
        <f t="shared" si="1"/>
        <v>100</v>
      </c>
      <c r="AF49" s="34"/>
      <c r="AG49" s="97" t="s">
        <v>37</v>
      </c>
      <c r="AH49" s="98"/>
    </row>
    <row r="50" spans="1:34" ht="23.25" hidden="1">
      <c r="A50" s="84">
        <v>23</v>
      </c>
      <c r="B50" s="29" t="s">
        <v>92</v>
      </c>
      <c r="C50" s="29" t="s">
        <v>146</v>
      </c>
      <c r="D50" s="29" t="s">
        <v>94</v>
      </c>
      <c r="E50" s="92" t="s">
        <v>147</v>
      </c>
      <c r="F50" s="86">
        <v>1</v>
      </c>
      <c r="G50" s="86"/>
      <c r="H50" s="93" t="s">
        <v>74</v>
      </c>
      <c r="I50" s="93" t="s">
        <v>74</v>
      </c>
      <c r="J50" s="33">
        <v>4919</v>
      </c>
      <c r="K50" s="323"/>
      <c r="L50" s="33">
        <f>J50+K50</f>
        <v>4919</v>
      </c>
      <c r="M50" s="33"/>
      <c r="N50" s="44">
        <v>1521.69</v>
      </c>
      <c r="O50" s="321"/>
      <c r="P50" s="44">
        <f t="shared" si="23"/>
        <v>1521.69</v>
      </c>
      <c r="Q50" s="44">
        <v>100</v>
      </c>
      <c r="R50" s="321"/>
      <c r="S50" s="44"/>
      <c r="T50" s="33">
        <f t="shared" si="15"/>
        <v>100</v>
      </c>
      <c r="U50" s="33">
        <f t="shared" si="16"/>
        <v>4819</v>
      </c>
      <c r="V50" s="33">
        <f t="shared" si="17"/>
        <v>0</v>
      </c>
      <c r="W50" s="33">
        <f t="shared" si="18"/>
        <v>4819</v>
      </c>
      <c r="X50" s="33">
        <f t="shared" si="19"/>
        <v>1421.69</v>
      </c>
      <c r="Y50" s="33">
        <f t="shared" si="20"/>
        <v>0</v>
      </c>
      <c r="Z50" s="33">
        <f t="shared" si="21"/>
        <v>1421.69</v>
      </c>
      <c r="AA50" s="33"/>
      <c r="AB50" s="33">
        <v>100</v>
      </c>
      <c r="AC50" s="34">
        <f t="shared" si="0"/>
        <v>100</v>
      </c>
      <c r="AD50" s="317"/>
      <c r="AE50" s="34">
        <f t="shared" si="1"/>
        <v>100</v>
      </c>
      <c r="AF50" s="34"/>
      <c r="AG50" s="97" t="s">
        <v>37</v>
      </c>
      <c r="AH50" s="98"/>
    </row>
    <row r="51" spans="1:34" ht="23.25" hidden="1">
      <c r="A51" s="84">
        <v>24</v>
      </c>
      <c r="B51" s="29" t="s">
        <v>92</v>
      </c>
      <c r="C51" s="29" t="s">
        <v>148</v>
      </c>
      <c r="D51" s="29" t="s">
        <v>94</v>
      </c>
      <c r="E51" s="92" t="s">
        <v>149</v>
      </c>
      <c r="F51" s="42">
        <v>1</v>
      </c>
      <c r="G51" s="42"/>
      <c r="H51" s="93" t="s">
        <v>150</v>
      </c>
      <c r="I51" s="93" t="s">
        <v>150</v>
      </c>
      <c r="J51" s="33">
        <v>4987</v>
      </c>
      <c r="K51" s="323"/>
      <c r="L51" s="33">
        <f>J51+K51</f>
        <v>4987</v>
      </c>
      <c r="M51" s="33"/>
      <c r="N51" s="44">
        <v>1588</v>
      </c>
      <c r="O51" s="321"/>
      <c r="P51" s="44">
        <f t="shared" si="23"/>
        <v>1588</v>
      </c>
      <c r="Q51" s="44">
        <v>300</v>
      </c>
      <c r="R51" s="321"/>
      <c r="S51" s="44"/>
      <c r="T51" s="33">
        <f t="shared" si="15"/>
        <v>300</v>
      </c>
      <c r="U51" s="33">
        <f t="shared" si="16"/>
        <v>4687</v>
      </c>
      <c r="V51" s="33">
        <f t="shared" si="17"/>
        <v>0</v>
      </c>
      <c r="W51" s="33">
        <f t="shared" si="18"/>
        <v>4687</v>
      </c>
      <c r="X51" s="33">
        <f t="shared" si="19"/>
        <v>1288</v>
      </c>
      <c r="Y51" s="33">
        <f t="shared" si="20"/>
        <v>0</v>
      </c>
      <c r="Z51" s="33">
        <f t="shared" si="21"/>
        <v>1288</v>
      </c>
      <c r="AA51" s="33"/>
      <c r="AB51" s="33">
        <v>100</v>
      </c>
      <c r="AC51" s="34">
        <f t="shared" si="0"/>
        <v>100</v>
      </c>
      <c r="AD51" s="317"/>
      <c r="AE51" s="34">
        <f t="shared" si="1"/>
        <v>100</v>
      </c>
      <c r="AF51" s="34"/>
      <c r="AG51" s="97" t="s">
        <v>37</v>
      </c>
      <c r="AH51" s="98"/>
    </row>
    <row r="52" spans="1:34" ht="69.75" hidden="1">
      <c r="A52" s="84">
        <v>25</v>
      </c>
      <c r="B52" s="29" t="s">
        <v>92</v>
      </c>
      <c r="C52" s="29" t="s">
        <v>151</v>
      </c>
      <c r="D52" s="29" t="s">
        <v>60</v>
      </c>
      <c r="E52" s="48" t="s">
        <v>152</v>
      </c>
      <c r="F52" s="86">
        <v>1</v>
      </c>
      <c r="G52" s="86"/>
      <c r="H52" s="43" t="s">
        <v>42</v>
      </c>
      <c r="I52" s="43" t="s">
        <v>42</v>
      </c>
      <c r="J52" s="44">
        <v>1363.75</v>
      </c>
      <c r="K52" s="321"/>
      <c r="L52" s="33">
        <f t="shared" ref="L52:L53" si="24">SUM(J52:K52)</f>
        <v>1363.75</v>
      </c>
      <c r="M52" s="33"/>
      <c r="N52" s="44">
        <v>1050</v>
      </c>
      <c r="O52" s="321"/>
      <c r="P52" s="33">
        <f t="shared" si="23"/>
        <v>1050</v>
      </c>
      <c r="Q52" s="33">
        <f>950+100</f>
        <v>1050</v>
      </c>
      <c r="R52" s="317"/>
      <c r="S52" s="33"/>
      <c r="T52" s="33">
        <f t="shared" ref="T52:T56" si="25">SUM(Q52:S52)</f>
        <v>1050</v>
      </c>
      <c r="U52" s="33">
        <f t="shared" si="16"/>
        <v>313.75</v>
      </c>
      <c r="V52" s="33">
        <f t="shared" si="17"/>
        <v>0</v>
      </c>
      <c r="W52" s="33">
        <f t="shared" si="18"/>
        <v>313.75</v>
      </c>
      <c r="X52" s="33">
        <f t="shared" si="19"/>
        <v>0</v>
      </c>
      <c r="Y52" s="33">
        <f t="shared" si="20"/>
        <v>0</v>
      </c>
      <c r="Z52" s="33">
        <f t="shared" si="21"/>
        <v>0</v>
      </c>
      <c r="AA52" s="33">
        <v>100</v>
      </c>
      <c r="AB52" s="33">
        <v>100</v>
      </c>
      <c r="AC52" s="34">
        <f t="shared" ref="AC52:AC65" si="26">AA52+AB52</f>
        <v>200</v>
      </c>
      <c r="AD52" s="317"/>
      <c r="AE52" s="34">
        <f t="shared" ref="AE52:AE65" si="27">AC52+AD52</f>
        <v>200</v>
      </c>
      <c r="AF52" s="34"/>
      <c r="AG52" s="88"/>
      <c r="AH52" s="46"/>
    </row>
    <row r="53" spans="1:34" ht="23.25" hidden="1">
      <c r="A53" s="84">
        <v>26</v>
      </c>
      <c r="B53" s="29" t="s">
        <v>92</v>
      </c>
      <c r="C53" s="29" t="s">
        <v>153</v>
      </c>
      <c r="D53" s="29" t="s">
        <v>154</v>
      </c>
      <c r="E53" s="48" t="s">
        <v>155</v>
      </c>
      <c r="F53" s="42">
        <v>1</v>
      </c>
      <c r="G53" s="42"/>
      <c r="H53" s="43" t="s">
        <v>46</v>
      </c>
      <c r="I53" s="43" t="s">
        <v>46</v>
      </c>
      <c r="J53" s="44">
        <v>1029</v>
      </c>
      <c r="K53" s="321"/>
      <c r="L53" s="33">
        <f t="shared" si="24"/>
        <v>1029</v>
      </c>
      <c r="M53" s="33"/>
      <c r="N53" s="78">
        <v>335</v>
      </c>
      <c r="O53" s="321"/>
      <c r="P53" s="33">
        <f t="shared" si="23"/>
        <v>335</v>
      </c>
      <c r="Q53" s="33">
        <f>235+100</f>
        <v>335</v>
      </c>
      <c r="R53" s="317"/>
      <c r="S53" s="33"/>
      <c r="T53" s="33">
        <f t="shared" si="25"/>
        <v>335</v>
      </c>
      <c r="U53" s="33">
        <f t="shared" si="16"/>
        <v>694</v>
      </c>
      <c r="V53" s="33">
        <f t="shared" si="17"/>
        <v>0</v>
      </c>
      <c r="W53" s="33">
        <f t="shared" si="18"/>
        <v>694</v>
      </c>
      <c r="X53" s="33">
        <f t="shared" si="19"/>
        <v>0</v>
      </c>
      <c r="Y53" s="33">
        <f t="shared" si="20"/>
        <v>0</v>
      </c>
      <c r="Z53" s="33">
        <f t="shared" si="21"/>
        <v>0</v>
      </c>
      <c r="AA53" s="33">
        <v>100</v>
      </c>
      <c r="AB53" s="33">
        <v>100</v>
      </c>
      <c r="AC53" s="34">
        <f t="shared" si="26"/>
        <v>200</v>
      </c>
      <c r="AD53" s="317"/>
      <c r="AE53" s="34">
        <f t="shared" si="27"/>
        <v>200</v>
      </c>
      <c r="AF53" s="34"/>
      <c r="AG53" s="88"/>
      <c r="AH53" s="46"/>
    </row>
    <row r="54" spans="1:34" ht="23.25" hidden="1">
      <c r="A54" s="28">
        <v>1</v>
      </c>
      <c r="B54" s="29" t="s">
        <v>92</v>
      </c>
      <c r="C54" s="29" t="s">
        <v>164</v>
      </c>
      <c r="D54" s="29" t="s">
        <v>80</v>
      </c>
      <c r="E54" s="99" t="s">
        <v>165</v>
      </c>
      <c r="F54" s="86">
        <v>1</v>
      </c>
      <c r="G54" s="86"/>
      <c r="H54" s="70" t="s">
        <v>49</v>
      </c>
      <c r="I54" s="70" t="s">
        <v>49</v>
      </c>
      <c r="J54" s="44">
        <v>3900</v>
      </c>
      <c r="K54" s="322"/>
      <c r="L54" s="44">
        <f t="shared" ref="L54:L61" si="28">SUM(J54:K54)</f>
        <v>3900</v>
      </c>
      <c r="M54" s="44"/>
      <c r="N54" s="44">
        <v>100</v>
      </c>
      <c r="O54" s="321"/>
      <c r="P54" s="44">
        <f>N54+O54</f>
        <v>100</v>
      </c>
      <c r="Q54" s="44">
        <v>100</v>
      </c>
      <c r="R54" s="322"/>
      <c r="S54" s="87"/>
      <c r="T54" s="33">
        <f t="shared" si="25"/>
        <v>100</v>
      </c>
      <c r="U54" s="33">
        <f>J54-Q54-S54</f>
        <v>3800</v>
      </c>
      <c r="V54" s="33">
        <f>K54-R54</f>
        <v>0</v>
      </c>
      <c r="W54" s="33">
        <f t="shared" si="18"/>
        <v>3800</v>
      </c>
      <c r="X54" s="33">
        <f>N54-Q54-S54</f>
        <v>0</v>
      </c>
      <c r="Y54" s="33">
        <f>O54-R54</f>
        <v>0</v>
      </c>
      <c r="Z54" s="33">
        <f t="shared" si="21"/>
        <v>0</v>
      </c>
      <c r="AA54" s="33">
        <v>100</v>
      </c>
      <c r="AB54" s="33">
        <v>100</v>
      </c>
      <c r="AC54" s="34">
        <f t="shared" si="26"/>
        <v>200</v>
      </c>
      <c r="AD54" s="317"/>
      <c r="AE54" s="34">
        <f t="shared" si="27"/>
        <v>200</v>
      </c>
      <c r="AF54" s="34"/>
      <c r="AG54" s="88"/>
      <c r="AH54" s="46"/>
    </row>
    <row r="55" spans="1:34" ht="46.5" hidden="1">
      <c r="A55" s="28">
        <v>2</v>
      </c>
      <c r="B55" s="29" t="s">
        <v>166</v>
      </c>
      <c r="C55" s="29" t="s">
        <v>167</v>
      </c>
      <c r="D55" s="29" t="s">
        <v>40</v>
      </c>
      <c r="E55" s="30" t="s">
        <v>168</v>
      </c>
      <c r="F55" s="42">
        <v>1</v>
      </c>
      <c r="G55" s="42"/>
      <c r="H55" s="43" t="s">
        <v>67</v>
      </c>
      <c r="I55" s="43" t="s">
        <v>67</v>
      </c>
      <c r="J55" s="33">
        <v>4900</v>
      </c>
      <c r="K55" s="317"/>
      <c r="L55" s="33">
        <f t="shared" si="28"/>
        <v>4900</v>
      </c>
      <c r="M55" s="33"/>
      <c r="N55" s="33">
        <v>1582.05</v>
      </c>
      <c r="O55" s="317"/>
      <c r="P55" s="33">
        <f t="shared" ref="P55:P56" si="29">SUM(N55:O55)</f>
        <v>1582.05</v>
      </c>
      <c r="Q55" s="33">
        <f>400+100</f>
        <v>500</v>
      </c>
      <c r="R55" s="317"/>
      <c r="S55" s="33"/>
      <c r="T55" s="33">
        <f t="shared" si="25"/>
        <v>500</v>
      </c>
      <c r="U55" s="33">
        <f>J55-Q55-S55</f>
        <v>4400</v>
      </c>
      <c r="V55" s="33">
        <f>K55-R55</f>
        <v>0</v>
      </c>
      <c r="W55" s="33">
        <f t="shared" si="18"/>
        <v>4400</v>
      </c>
      <c r="X55" s="33">
        <f>N55-Q55-S55</f>
        <v>1082.05</v>
      </c>
      <c r="Y55" s="33">
        <f>O55-R55</f>
        <v>0</v>
      </c>
      <c r="Z55" s="33">
        <f t="shared" si="21"/>
        <v>1082.05</v>
      </c>
      <c r="AA55" s="33">
        <v>100</v>
      </c>
      <c r="AB55" s="33">
        <v>100</v>
      </c>
      <c r="AC55" s="34">
        <f t="shared" si="26"/>
        <v>200</v>
      </c>
      <c r="AD55" s="317"/>
      <c r="AE55" s="34">
        <f t="shared" si="27"/>
        <v>200</v>
      </c>
      <c r="AF55" s="34"/>
      <c r="AG55" s="90" t="s">
        <v>37</v>
      </c>
      <c r="AH55" s="91"/>
    </row>
    <row r="56" spans="1:34" ht="23.25" hidden="1">
      <c r="A56" s="28">
        <v>3</v>
      </c>
      <c r="B56" s="29" t="s">
        <v>92</v>
      </c>
      <c r="C56" s="29" t="s">
        <v>169</v>
      </c>
      <c r="D56" s="29" t="s">
        <v>80</v>
      </c>
      <c r="E56" s="75" t="s">
        <v>170</v>
      </c>
      <c r="F56" s="42">
        <v>1</v>
      </c>
      <c r="G56" s="42"/>
      <c r="H56" s="43" t="s">
        <v>171</v>
      </c>
      <c r="I56" s="43" t="s">
        <v>171</v>
      </c>
      <c r="J56" s="44">
        <v>500</v>
      </c>
      <c r="K56" s="317"/>
      <c r="L56" s="33">
        <f t="shared" si="28"/>
        <v>500</v>
      </c>
      <c r="M56" s="33"/>
      <c r="N56" s="44">
        <v>450</v>
      </c>
      <c r="O56" s="317"/>
      <c r="P56" s="33">
        <f t="shared" si="29"/>
        <v>450</v>
      </c>
      <c r="Q56" s="44">
        <f>350+100</f>
        <v>450</v>
      </c>
      <c r="R56" s="317"/>
      <c r="S56" s="33"/>
      <c r="T56" s="33">
        <f t="shared" si="25"/>
        <v>450</v>
      </c>
      <c r="U56" s="33">
        <f>J56-Q56-S56</f>
        <v>50</v>
      </c>
      <c r="V56" s="33">
        <f>K56-R56</f>
        <v>0</v>
      </c>
      <c r="W56" s="33">
        <f t="shared" si="18"/>
        <v>50</v>
      </c>
      <c r="X56" s="33">
        <f>N56-Q56-S56</f>
        <v>0</v>
      </c>
      <c r="Y56" s="33">
        <f>O56-R56</f>
        <v>0</v>
      </c>
      <c r="Z56" s="33">
        <f t="shared" si="21"/>
        <v>0</v>
      </c>
      <c r="AA56" s="33">
        <v>100</v>
      </c>
      <c r="AB56" s="33">
        <v>50</v>
      </c>
      <c r="AC56" s="34">
        <f t="shared" si="26"/>
        <v>150</v>
      </c>
      <c r="AD56" s="317"/>
      <c r="AE56" s="34">
        <f t="shared" si="27"/>
        <v>150</v>
      </c>
      <c r="AF56" s="34"/>
      <c r="AG56" s="88"/>
      <c r="AH56" s="100"/>
    </row>
    <row r="57" spans="1:34" ht="33.75" hidden="1">
      <c r="A57" s="101">
        <v>1</v>
      </c>
      <c r="B57" s="77"/>
      <c r="C57" s="77"/>
      <c r="D57" s="77"/>
      <c r="E57" s="102" t="s">
        <v>172</v>
      </c>
      <c r="F57" s="31">
        <v>1</v>
      </c>
      <c r="G57" s="31"/>
      <c r="H57" s="31" t="s">
        <v>35</v>
      </c>
      <c r="I57" s="31" t="s">
        <v>36</v>
      </c>
      <c r="J57" s="32">
        <v>4900</v>
      </c>
      <c r="K57" s="316"/>
      <c r="L57" s="32">
        <f t="shared" si="28"/>
        <v>4900</v>
      </c>
      <c r="M57" s="32"/>
      <c r="N57" s="25"/>
      <c r="O57" s="335"/>
      <c r="P57" s="33">
        <f>SUM(N57:O57)</f>
        <v>0</v>
      </c>
      <c r="Q57" s="25"/>
      <c r="R57" s="335"/>
      <c r="S57" s="25"/>
      <c r="T57" s="33">
        <f t="shared" ref="T57:T65" si="30">SUM(Q57:S57)</f>
        <v>0</v>
      </c>
      <c r="U57" s="25"/>
      <c r="V57" s="25"/>
      <c r="W57" s="33">
        <f t="shared" ref="W57:W69" si="31">SUM(U57:V57)</f>
        <v>0</v>
      </c>
      <c r="X57" s="25"/>
      <c r="Y57" s="25"/>
      <c r="Z57" s="33">
        <f t="shared" ref="Z57:Z69" si="32">SUM(X57:Y57)</f>
        <v>0</v>
      </c>
      <c r="AA57" s="33"/>
      <c r="AB57" s="32">
        <v>500</v>
      </c>
      <c r="AC57" s="34">
        <f t="shared" si="26"/>
        <v>500</v>
      </c>
      <c r="AD57" s="316"/>
      <c r="AE57" s="34">
        <f t="shared" si="27"/>
        <v>500</v>
      </c>
      <c r="AF57" s="34"/>
      <c r="AG57" s="35" t="s">
        <v>37</v>
      </c>
      <c r="AH57" s="24"/>
    </row>
    <row r="58" spans="1:34" ht="33.75" hidden="1">
      <c r="A58" s="101">
        <v>2</v>
      </c>
      <c r="B58" s="77"/>
      <c r="C58" s="77"/>
      <c r="D58" s="77"/>
      <c r="E58" s="102" t="s">
        <v>173</v>
      </c>
      <c r="F58" s="31">
        <v>1</v>
      </c>
      <c r="G58" s="31"/>
      <c r="H58" s="31" t="s">
        <v>35</v>
      </c>
      <c r="I58" s="31" t="s">
        <v>36</v>
      </c>
      <c r="J58" s="32">
        <v>9914</v>
      </c>
      <c r="K58" s="316"/>
      <c r="L58" s="32">
        <f t="shared" si="28"/>
        <v>9914</v>
      </c>
      <c r="M58" s="32"/>
      <c r="N58" s="25"/>
      <c r="O58" s="335"/>
      <c r="P58" s="33">
        <f>SUM(N58:O58)</f>
        <v>0</v>
      </c>
      <c r="Q58" s="25"/>
      <c r="R58" s="335"/>
      <c r="S58" s="25"/>
      <c r="T58" s="33">
        <f t="shared" si="30"/>
        <v>0</v>
      </c>
      <c r="U58" s="25"/>
      <c r="V58" s="25"/>
      <c r="W58" s="33">
        <f t="shared" si="31"/>
        <v>0</v>
      </c>
      <c r="X58" s="25"/>
      <c r="Y58" s="25"/>
      <c r="Z58" s="33">
        <f t="shared" si="32"/>
        <v>0</v>
      </c>
      <c r="AA58" s="33"/>
      <c r="AB58" s="32">
        <v>1100</v>
      </c>
      <c r="AC58" s="34">
        <f>AA58+AB58</f>
        <v>1100</v>
      </c>
      <c r="AD58" s="316"/>
      <c r="AE58" s="34">
        <f>AC58+AD58</f>
        <v>1100</v>
      </c>
      <c r="AF58" s="34"/>
      <c r="AG58" s="35" t="s">
        <v>37</v>
      </c>
      <c r="AH58" s="24"/>
    </row>
    <row r="59" spans="1:34" ht="46.5" hidden="1">
      <c r="A59" s="28">
        <v>1</v>
      </c>
      <c r="B59" s="29" t="s">
        <v>176</v>
      </c>
      <c r="C59" s="29" t="s">
        <v>177</v>
      </c>
      <c r="D59" s="29" t="s">
        <v>178</v>
      </c>
      <c r="E59" s="48" t="s">
        <v>179</v>
      </c>
      <c r="F59" s="42">
        <v>1</v>
      </c>
      <c r="G59" s="42"/>
      <c r="H59" s="43" t="s">
        <v>46</v>
      </c>
      <c r="I59" s="43" t="s">
        <v>46</v>
      </c>
      <c r="J59" s="44">
        <v>3932</v>
      </c>
      <c r="K59" s="324"/>
      <c r="L59" s="33">
        <f t="shared" si="28"/>
        <v>3932</v>
      </c>
      <c r="M59" s="33"/>
      <c r="N59" s="78">
        <v>2086.6999999999998</v>
      </c>
      <c r="O59" s="324"/>
      <c r="P59" s="33">
        <f>SUM(N59:O59)</f>
        <v>2086.6999999999998</v>
      </c>
      <c r="Q59" s="33">
        <f>750+250</f>
        <v>1000</v>
      </c>
      <c r="R59" s="317"/>
      <c r="S59" s="33"/>
      <c r="T59" s="33">
        <f t="shared" si="30"/>
        <v>1000</v>
      </c>
      <c r="U59" s="33">
        <f>J59-Q59-S59</f>
        <v>2932</v>
      </c>
      <c r="V59" s="33">
        <f>K59-R59</f>
        <v>0</v>
      </c>
      <c r="W59" s="33">
        <f t="shared" si="31"/>
        <v>2932</v>
      </c>
      <c r="X59" s="33">
        <f>N59-Q59-S59</f>
        <v>1086.6999999999998</v>
      </c>
      <c r="Y59" s="33">
        <f>O59-R59</f>
        <v>0</v>
      </c>
      <c r="Z59" s="33">
        <f t="shared" si="32"/>
        <v>1086.6999999999998</v>
      </c>
      <c r="AA59" s="33"/>
      <c r="AB59" s="33">
        <v>100</v>
      </c>
      <c r="AC59" s="34">
        <f t="shared" si="26"/>
        <v>100</v>
      </c>
      <c r="AD59" s="317"/>
      <c r="AE59" s="34">
        <f t="shared" si="27"/>
        <v>100</v>
      </c>
      <c r="AF59" s="34"/>
      <c r="AG59" s="88"/>
      <c r="AH59" s="46"/>
    </row>
    <row r="60" spans="1:34" ht="46.5" hidden="1">
      <c r="A60" s="28">
        <v>2</v>
      </c>
      <c r="B60" s="29" t="s">
        <v>176</v>
      </c>
      <c r="C60" s="29" t="s">
        <v>180</v>
      </c>
      <c r="D60" s="29" t="s">
        <v>178</v>
      </c>
      <c r="E60" s="48" t="s">
        <v>181</v>
      </c>
      <c r="F60" s="86">
        <v>1</v>
      </c>
      <c r="G60" s="86"/>
      <c r="H60" s="70" t="s">
        <v>49</v>
      </c>
      <c r="I60" s="70" t="s">
        <v>49</v>
      </c>
      <c r="J60" s="44">
        <v>3446</v>
      </c>
      <c r="K60" s="322"/>
      <c r="L60" s="44">
        <f t="shared" si="28"/>
        <v>3446</v>
      </c>
      <c r="M60" s="44"/>
      <c r="N60" s="44">
        <v>1165.57</v>
      </c>
      <c r="O60" s="324"/>
      <c r="P60" s="44">
        <f>N60+O60</f>
        <v>1165.57</v>
      </c>
      <c r="Q60" s="44">
        <f>200+250</f>
        <v>450</v>
      </c>
      <c r="R60" s="317"/>
      <c r="S60" s="33"/>
      <c r="T60" s="33">
        <f t="shared" si="30"/>
        <v>450</v>
      </c>
      <c r="U60" s="33">
        <f>J60-Q60-S60</f>
        <v>2996</v>
      </c>
      <c r="V60" s="33">
        <f>K60-R60</f>
        <v>0</v>
      </c>
      <c r="W60" s="33">
        <f t="shared" si="31"/>
        <v>2996</v>
      </c>
      <c r="X60" s="33">
        <f>N60-Q60-S60</f>
        <v>715.56999999999994</v>
      </c>
      <c r="Y60" s="33">
        <f>O60-R60</f>
        <v>0</v>
      </c>
      <c r="Z60" s="33">
        <f t="shared" si="32"/>
        <v>715.56999999999994</v>
      </c>
      <c r="AA60" s="33"/>
      <c r="AB60" s="33">
        <v>100</v>
      </c>
      <c r="AC60" s="34">
        <f t="shared" si="26"/>
        <v>100</v>
      </c>
      <c r="AD60" s="317"/>
      <c r="AE60" s="34">
        <f t="shared" si="27"/>
        <v>100</v>
      </c>
      <c r="AF60" s="34"/>
      <c r="AG60" s="88"/>
      <c r="AH60" s="46"/>
    </row>
    <row r="61" spans="1:34" ht="46.5" hidden="1">
      <c r="A61" s="28">
        <v>3</v>
      </c>
      <c r="B61" s="29" t="s">
        <v>176</v>
      </c>
      <c r="C61" s="29" t="s">
        <v>182</v>
      </c>
      <c r="D61" s="29" t="s">
        <v>178</v>
      </c>
      <c r="E61" s="48" t="s">
        <v>183</v>
      </c>
      <c r="F61" s="42">
        <v>1</v>
      </c>
      <c r="G61" s="42"/>
      <c r="H61" s="70" t="s">
        <v>67</v>
      </c>
      <c r="I61" s="70" t="s">
        <v>67</v>
      </c>
      <c r="J61" s="44">
        <v>2800</v>
      </c>
      <c r="K61" s="322"/>
      <c r="L61" s="44">
        <f t="shared" si="28"/>
        <v>2800</v>
      </c>
      <c r="M61" s="44"/>
      <c r="N61" s="44">
        <v>2800</v>
      </c>
      <c r="O61" s="324"/>
      <c r="P61" s="44">
        <f t="shared" ref="P61:P66" si="33">SUM(N61:O61)</f>
        <v>2800</v>
      </c>
      <c r="Q61" s="44">
        <f>600+250+250</f>
        <v>1100</v>
      </c>
      <c r="R61" s="317"/>
      <c r="S61" s="33"/>
      <c r="T61" s="33">
        <f t="shared" si="30"/>
        <v>1100</v>
      </c>
      <c r="U61" s="33">
        <f>J61-Q61-S61</f>
        <v>1700</v>
      </c>
      <c r="V61" s="33">
        <f>K61-R61</f>
        <v>0</v>
      </c>
      <c r="W61" s="33">
        <f t="shared" si="31"/>
        <v>1700</v>
      </c>
      <c r="X61" s="33">
        <f>N61-Q61-S61</f>
        <v>1700</v>
      </c>
      <c r="Y61" s="33">
        <f>O61-R61</f>
        <v>0</v>
      </c>
      <c r="Z61" s="33">
        <f t="shared" si="32"/>
        <v>1700</v>
      </c>
      <c r="AA61" s="33"/>
      <c r="AB61" s="33">
        <v>100</v>
      </c>
      <c r="AC61" s="34">
        <f t="shared" si="26"/>
        <v>100</v>
      </c>
      <c r="AD61" s="317"/>
      <c r="AE61" s="34">
        <f t="shared" si="27"/>
        <v>100</v>
      </c>
      <c r="AF61" s="34"/>
      <c r="AG61" s="90"/>
      <c r="AH61" s="91"/>
    </row>
    <row r="62" spans="1:34" ht="23.25" hidden="1">
      <c r="A62" s="28">
        <v>4</v>
      </c>
      <c r="B62" s="29" t="s">
        <v>176</v>
      </c>
      <c r="C62" s="29" t="s">
        <v>184</v>
      </c>
      <c r="D62" s="29" t="s">
        <v>178</v>
      </c>
      <c r="E62" s="96" t="s">
        <v>185</v>
      </c>
      <c r="F62" s="86">
        <v>1</v>
      </c>
      <c r="G62" s="86"/>
      <c r="H62" s="93" t="s">
        <v>150</v>
      </c>
      <c r="I62" s="93" t="s">
        <v>150</v>
      </c>
      <c r="J62" s="44">
        <v>4950</v>
      </c>
      <c r="K62" s="322"/>
      <c r="L62" s="33">
        <f>J62+K62</f>
        <v>4950</v>
      </c>
      <c r="M62" s="33"/>
      <c r="N62" s="44">
        <v>4950</v>
      </c>
      <c r="O62" s="321"/>
      <c r="P62" s="44">
        <f t="shared" si="33"/>
        <v>4950</v>
      </c>
      <c r="Q62" s="44">
        <v>300</v>
      </c>
      <c r="R62" s="321"/>
      <c r="S62" s="44"/>
      <c r="T62" s="33">
        <f t="shared" si="30"/>
        <v>300</v>
      </c>
      <c r="U62" s="33">
        <f>J62-Q62-S62</f>
        <v>4650</v>
      </c>
      <c r="V62" s="33">
        <f>K62-R62</f>
        <v>0</v>
      </c>
      <c r="W62" s="33">
        <f t="shared" si="31"/>
        <v>4650</v>
      </c>
      <c r="X62" s="33">
        <f>N62-Q62-S62</f>
        <v>4650</v>
      </c>
      <c r="Y62" s="33">
        <f>O62-R62</f>
        <v>0</v>
      </c>
      <c r="Z62" s="33">
        <f t="shared" si="32"/>
        <v>4650</v>
      </c>
      <c r="AA62" s="33"/>
      <c r="AB62" s="33">
        <v>100</v>
      </c>
      <c r="AC62" s="34">
        <f t="shared" si="26"/>
        <v>100</v>
      </c>
      <c r="AD62" s="317"/>
      <c r="AE62" s="34">
        <f t="shared" si="27"/>
        <v>100</v>
      </c>
      <c r="AF62" s="34"/>
      <c r="AG62" s="90" t="s">
        <v>37</v>
      </c>
      <c r="AH62" s="104"/>
    </row>
    <row r="63" spans="1:34" ht="46.5" hidden="1">
      <c r="A63" s="105">
        <v>1</v>
      </c>
      <c r="B63" s="77"/>
      <c r="C63" s="77"/>
      <c r="D63" s="77"/>
      <c r="E63" s="30" t="s">
        <v>186</v>
      </c>
      <c r="F63" s="106">
        <v>1</v>
      </c>
      <c r="G63" s="106"/>
      <c r="H63" s="106" t="s">
        <v>35</v>
      </c>
      <c r="I63" s="106" t="s">
        <v>36</v>
      </c>
      <c r="J63" s="32">
        <v>4933</v>
      </c>
      <c r="K63" s="316"/>
      <c r="L63" s="32">
        <f t="shared" ref="L63:L69" si="34">SUM(J63:K63)</f>
        <v>4933</v>
      </c>
      <c r="M63" s="32"/>
      <c r="N63" s="23"/>
      <c r="O63" s="337"/>
      <c r="P63" s="44">
        <f t="shared" si="33"/>
        <v>0</v>
      </c>
      <c r="Q63" s="23"/>
      <c r="R63" s="337"/>
      <c r="S63" s="23"/>
      <c r="T63" s="33">
        <f t="shared" si="30"/>
        <v>0</v>
      </c>
      <c r="U63" s="23"/>
      <c r="V63" s="23"/>
      <c r="W63" s="44">
        <f t="shared" si="31"/>
        <v>0</v>
      </c>
      <c r="X63" s="23"/>
      <c r="Y63" s="23"/>
      <c r="Z63" s="44">
        <f t="shared" si="32"/>
        <v>0</v>
      </c>
      <c r="AA63" s="44"/>
      <c r="AB63" s="107">
        <v>400</v>
      </c>
      <c r="AC63" s="34">
        <f t="shared" si="26"/>
        <v>400</v>
      </c>
      <c r="AD63" s="328"/>
      <c r="AE63" s="34">
        <f t="shared" si="27"/>
        <v>400</v>
      </c>
      <c r="AF63" s="34"/>
      <c r="AG63" s="35" t="s">
        <v>37</v>
      </c>
      <c r="AH63" s="24"/>
    </row>
    <row r="64" spans="1:34" ht="33.75" hidden="1">
      <c r="A64" s="105">
        <v>2</v>
      </c>
      <c r="B64" s="77"/>
      <c r="C64" s="77"/>
      <c r="D64" s="77"/>
      <c r="E64" s="30" t="s">
        <v>187</v>
      </c>
      <c r="F64" s="106">
        <v>1</v>
      </c>
      <c r="G64" s="106"/>
      <c r="H64" s="106" t="s">
        <v>35</v>
      </c>
      <c r="I64" s="106" t="s">
        <v>36</v>
      </c>
      <c r="J64" s="32">
        <v>4895</v>
      </c>
      <c r="K64" s="316"/>
      <c r="L64" s="32">
        <f t="shared" si="34"/>
        <v>4895</v>
      </c>
      <c r="M64" s="32"/>
      <c r="N64" s="23"/>
      <c r="O64" s="337"/>
      <c r="P64" s="44">
        <f t="shared" si="33"/>
        <v>0</v>
      </c>
      <c r="Q64" s="23"/>
      <c r="R64" s="337"/>
      <c r="S64" s="23"/>
      <c r="T64" s="33">
        <f t="shared" si="30"/>
        <v>0</v>
      </c>
      <c r="U64" s="23"/>
      <c r="V64" s="23"/>
      <c r="W64" s="44">
        <f t="shared" si="31"/>
        <v>0</v>
      </c>
      <c r="X64" s="23"/>
      <c r="Y64" s="23"/>
      <c r="Z64" s="44">
        <f t="shared" si="32"/>
        <v>0</v>
      </c>
      <c r="AA64" s="44"/>
      <c r="AB64" s="107">
        <v>400</v>
      </c>
      <c r="AC64" s="34">
        <f t="shared" si="26"/>
        <v>400</v>
      </c>
      <c r="AD64" s="328"/>
      <c r="AE64" s="34">
        <f t="shared" si="27"/>
        <v>400</v>
      </c>
      <c r="AF64" s="34"/>
      <c r="AG64" s="35" t="s">
        <v>37</v>
      </c>
      <c r="AH64" s="24"/>
    </row>
    <row r="65" spans="1:34" ht="33.75" hidden="1">
      <c r="A65" s="105">
        <v>3</v>
      </c>
      <c r="B65" s="77"/>
      <c r="C65" s="77"/>
      <c r="D65" s="77"/>
      <c r="E65" s="75" t="s">
        <v>188</v>
      </c>
      <c r="F65" s="106">
        <v>1</v>
      </c>
      <c r="G65" s="106"/>
      <c r="H65" s="106" t="s">
        <v>35</v>
      </c>
      <c r="I65" s="106" t="s">
        <v>36</v>
      </c>
      <c r="J65" s="32">
        <v>2120</v>
      </c>
      <c r="K65" s="316"/>
      <c r="L65" s="32">
        <f t="shared" si="34"/>
        <v>2120</v>
      </c>
      <c r="M65" s="32"/>
      <c r="N65" s="23"/>
      <c r="O65" s="337"/>
      <c r="P65" s="44">
        <f t="shared" si="33"/>
        <v>0</v>
      </c>
      <c r="Q65" s="23"/>
      <c r="R65" s="337"/>
      <c r="S65" s="23"/>
      <c r="T65" s="33">
        <f t="shared" si="30"/>
        <v>0</v>
      </c>
      <c r="U65" s="23"/>
      <c r="V65" s="23"/>
      <c r="W65" s="44">
        <f t="shared" si="31"/>
        <v>0</v>
      </c>
      <c r="X65" s="23"/>
      <c r="Y65" s="23"/>
      <c r="Z65" s="44">
        <f t="shared" si="32"/>
        <v>0</v>
      </c>
      <c r="AA65" s="44"/>
      <c r="AB65" s="107">
        <v>400</v>
      </c>
      <c r="AC65" s="34">
        <f t="shared" si="26"/>
        <v>400</v>
      </c>
      <c r="AD65" s="328"/>
      <c r="AE65" s="34">
        <f t="shared" si="27"/>
        <v>400</v>
      </c>
      <c r="AF65" s="34"/>
      <c r="AG65" s="35" t="s">
        <v>37</v>
      </c>
      <c r="AH65" s="24"/>
    </row>
    <row r="66" spans="1:34" ht="46.5" hidden="1">
      <c r="A66" s="28">
        <v>1</v>
      </c>
      <c r="B66" s="29" t="s">
        <v>190</v>
      </c>
      <c r="C66" s="29" t="s">
        <v>191</v>
      </c>
      <c r="D66" s="29" t="s">
        <v>83</v>
      </c>
      <c r="E66" s="48" t="s">
        <v>192</v>
      </c>
      <c r="F66" s="42">
        <v>1</v>
      </c>
      <c r="G66" s="42"/>
      <c r="H66" s="43" t="s">
        <v>78</v>
      </c>
      <c r="I66" s="43" t="s">
        <v>78</v>
      </c>
      <c r="J66" s="89">
        <v>5000</v>
      </c>
      <c r="K66" s="321"/>
      <c r="L66" s="33">
        <f t="shared" si="34"/>
        <v>5000</v>
      </c>
      <c r="M66" s="33"/>
      <c r="N66" s="78">
        <v>2842.8</v>
      </c>
      <c r="O66" s="321"/>
      <c r="P66" s="33">
        <f t="shared" si="33"/>
        <v>2842.8</v>
      </c>
      <c r="Q66" s="33">
        <f>750+300</f>
        <v>1050</v>
      </c>
      <c r="R66" s="317"/>
      <c r="S66" s="33"/>
      <c r="T66" s="33">
        <f t="shared" ref="T66:T81" si="35">SUM(Q66:S66)</f>
        <v>1050</v>
      </c>
      <c r="U66" s="33">
        <f>J66-Q66-S66</f>
        <v>3950</v>
      </c>
      <c r="V66" s="33">
        <f>K66-R66</f>
        <v>0</v>
      </c>
      <c r="W66" s="33">
        <f t="shared" si="31"/>
        <v>3950</v>
      </c>
      <c r="X66" s="33">
        <f>N66-Q66-S66</f>
        <v>1792.8000000000002</v>
      </c>
      <c r="Y66" s="33">
        <f>O66-R66</f>
        <v>0</v>
      </c>
      <c r="Z66" s="33">
        <f t="shared" si="32"/>
        <v>1792.8000000000002</v>
      </c>
      <c r="AA66" s="33">
        <v>300</v>
      </c>
      <c r="AB66" s="33">
        <v>100</v>
      </c>
      <c r="AC66" s="34">
        <f t="shared" ref="AC66:AC94" si="36">AA66+AB66</f>
        <v>400</v>
      </c>
      <c r="AD66" s="317"/>
      <c r="AE66" s="34">
        <f t="shared" ref="AE66:AE94" si="37">AC66+AD66</f>
        <v>400</v>
      </c>
      <c r="AF66" s="34"/>
      <c r="AG66" s="83"/>
      <c r="AH66" s="81"/>
    </row>
    <row r="67" spans="1:34" ht="23.25" hidden="1">
      <c r="A67" s="28">
        <v>2</v>
      </c>
      <c r="B67" s="29" t="s">
        <v>190</v>
      </c>
      <c r="C67" s="29" t="s">
        <v>193</v>
      </c>
      <c r="D67" s="29" t="s">
        <v>83</v>
      </c>
      <c r="E67" s="48" t="s">
        <v>194</v>
      </c>
      <c r="F67" s="42">
        <v>1</v>
      </c>
      <c r="G67" s="42"/>
      <c r="H67" s="43" t="s">
        <v>49</v>
      </c>
      <c r="I67" s="43" t="s">
        <v>49</v>
      </c>
      <c r="J67" s="89">
        <v>4137</v>
      </c>
      <c r="K67" s="321"/>
      <c r="L67" s="33">
        <f t="shared" si="34"/>
        <v>4137</v>
      </c>
      <c r="M67" s="33"/>
      <c r="N67" s="89">
        <v>1260.52</v>
      </c>
      <c r="O67" s="321"/>
      <c r="P67" s="33">
        <f>N67+O67</f>
        <v>1260.52</v>
      </c>
      <c r="Q67" s="33">
        <f>328.48+400</f>
        <v>728.48</v>
      </c>
      <c r="R67" s="317"/>
      <c r="S67" s="33"/>
      <c r="T67" s="33">
        <f t="shared" si="35"/>
        <v>728.48</v>
      </c>
      <c r="U67" s="33">
        <f>J67-Q67-S67</f>
        <v>3408.52</v>
      </c>
      <c r="V67" s="33">
        <f>K67-R67</f>
        <v>0</v>
      </c>
      <c r="W67" s="33">
        <f t="shared" si="31"/>
        <v>3408.52</v>
      </c>
      <c r="X67" s="33">
        <f>N67-Q67-S67</f>
        <v>532.04</v>
      </c>
      <c r="Y67" s="33">
        <f>O67-R67</f>
        <v>0</v>
      </c>
      <c r="Z67" s="33">
        <f t="shared" si="32"/>
        <v>532.04</v>
      </c>
      <c r="AA67" s="33"/>
      <c r="AB67" s="33">
        <v>100</v>
      </c>
      <c r="AC67" s="34">
        <f t="shared" si="36"/>
        <v>100</v>
      </c>
      <c r="AD67" s="317"/>
      <c r="AE67" s="34">
        <f t="shared" si="37"/>
        <v>100</v>
      </c>
      <c r="AF67" s="34"/>
      <c r="AG67" s="88"/>
      <c r="AH67" s="46"/>
    </row>
    <row r="68" spans="1:34" ht="23.25" hidden="1">
      <c r="A68" s="28">
        <v>3</v>
      </c>
      <c r="B68" s="29" t="s">
        <v>190</v>
      </c>
      <c r="C68" s="29" t="s">
        <v>195</v>
      </c>
      <c r="D68" s="29" t="s">
        <v>83</v>
      </c>
      <c r="E68" s="115" t="s">
        <v>196</v>
      </c>
      <c r="F68" s="42">
        <v>1</v>
      </c>
      <c r="G68" s="42"/>
      <c r="H68" s="43" t="s">
        <v>67</v>
      </c>
      <c r="I68" s="43" t="s">
        <v>67</v>
      </c>
      <c r="J68" s="89">
        <v>899</v>
      </c>
      <c r="K68" s="321"/>
      <c r="L68" s="33">
        <f t="shared" si="34"/>
        <v>899</v>
      </c>
      <c r="M68" s="33"/>
      <c r="N68" s="89">
        <v>897.65</v>
      </c>
      <c r="O68" s="321"/>
      <c r="P68" s="33">
        <f>N68+O68</f>
        <v>897.65</v>
      </c>
      <c r="Q68" s="33">
        <f>300+300</f>
        <v>600</v>
      </c>
      <c r="R68" s="317"/>
      <c r="S68" s="33"/>
      <c r="T68" s="33">
        <f t="shared" si="35"/>
        <v>600</v>
      </c>
      <c r="U68" s="33">
        <f>J68-Q68-S68</f>
        <v>299</v>
      </c>
      <c r="V68" s="33">
        <f>K68-R68</f>
        <v>0</v>
      </c>
      <c r="W68" s="33">
        <f t="shared" si="31"/>
        <v>299</v>
      </c>
      <c r="X68" s="33">
        <f>N68-Q68-S68</f>
        <v>297.64999999999998</v>
      </c>
      <c r="Y68" s="33">
        <f>O68-R68</f>
        <v>0</v>
      </c>
      <c r="Z68" s="33">
        <f t="shared" si="32"/>
        <v>297.64999999999998</v>
      </c>
      <c r="AA68" s="33"/>
      <c r="AB68" s="33">
        <v>297.64999999999998</v>
      </c>
      <c r="AC68" s="34">
        <f t="shared" si="36"/>
        <v>297.64999999999998</v>
      </c>
      <c r="AD68" s="317"/>
      <c r="AE68" s="34">
        <f t="shared" si="37"/>
        <v>297.64999999999998</v>
      </c>
      <c r="AF68" s="34"/>
      <c r="AG68" s="90" t="s">
        <v>37</v>
      </c>
      <c r="AH68" s="91"/>
    </row>
    <row r="69" spans="1:34" ht="46.5" hidden="1">
      <c r="A69" s="28">
        <v>4</v>
      </c>
      <c r="B69" s="29" t="s">
        <v>190</v>
      </c>
      <c r="C69" s="29" t="s">
        <v>197</v>
      </c>
      <c r="D69" s="29" t="s">
        <v>83</v>
      </c>
      <c r="E69" s="48" t="s">
        <v>198</v>
      </c>
      <c r="F69" s="42">
        <v>1</v>
      </c>
      <c r="G69" s="42"/>
      <c r="H69" s="43" t="s">
        <v>49</v>
      </c>
      <c r="I69" s="43" t="s">
        <v>49</v>
      </c>
      <c r="J69" s="89">
        <v>1798</v>
      </c>
      <c r="K69" s="325"/>
      <c r="L69" s="33">
        <f t="shared" si="34"/>
        <v>1798</v>
      </c>
      <c r="M69" s="33"/>
      <c r="N69" s="89">
        <v>952.5</v>
      </c>
      <c r="O69" s="325"/>
      <c r="P69" s="33">
        <f>SUM(N69:O69)</f>
        <v>952.5</v>
      </c>
      <c r="Q69" s="89">
        <f>250+325</f>
        <v>575</v>
      </c>
      <c r="R69" s="325"/>
      <c r="S69" s="89"/>
      <c r="T69" s="33">
        <f t="shared" si="35"/>
        <v>575</v>
      </c>
      <c r="U69" s="33">
        <f>J69-Q69-S69</f>
        <v>1223</v>
      </c>
      <c r="V69" s="33">
        <f>K69-R69</f>
        <v>0</v>
      </c>
      <c r="W69" s="33">
        <f t="shared" si="31"/>
        <v>1223</v>
      </c>
      <c r="X69" s="33">
        <f>N69-Q69-S69</f>
        <v>377.5</v>
      </c>
      <c r="Y69" s="33">
        <f>O69-R69</f>
        <v>0</v>
      </c>
      <c r="Z69" s="33">
        <f t="shared" si="32"/>
        <v>377.5</v>
      </c>
      <c r="AA69" s="33"/>
      <c r="AB69" s="33">
        <v>150</v>
      </c>
      <c r="AC69" s="34">
        <f t="shared" si="36"/>
        <v>150</v>
      </c>
      <c r="AD69" s="317"/>
      <c r="AE69" s="34">
        <f t="shared" si="37"/>
        <v>150</v>
      </c>
      <c r="AF69" s="34"/>
      <c r="AG69" s="88"/>
      <c r="AH69" s="46"/>
    </row>
    <row r="70" spans="1:34" ht="23.25" hidden="1">
      <c r="A70" s="28">
        <v>5</v>
      </c>
      <c r="B70" s="29" t="s">
        <v>190</v>
      </c>
      <c r="C70" s="29" t="s">
        <v>199</v>
      </c>
      <c r="D70" s="29" t="s">
        <v>83</v>
      </c>
      <c r="E70" s="116" t="s">
        <v>200</v>
      </c>
      <c r="F70" s="42">
        <v>1</v>
      </c>
      <c r="G70" s="42"/>
      <c r="H70" s="93" t="s">
        <v>150</v>
      </c>
      <c r="I70" s="93" t="s">
        <v>150</v>
      </c>
      <c r="J70" s="117">
        <f>SUM(J71:J72)</f>
        <v>1798</v>
      </c>
      <c r="K70" s="326">
        <f>SUM(K71:K72)</f>
        <v>0</v>
      </c>
      <c r="L70" s="55">
        <f>J70+K70</f>
        <v>1798</v>
      </c>
      <c r="M70" s="55"/>
      <c r="N70" s="117">
        <f>SUM(N71:N72)</f>
        <v>1798</v>
      </c>
      <c r="O70" s="326">
        <f>SUM(O71:O72)</f>
        <v>0</v>
      </c>
      <c r="P70" s="55">
        <f>N70+O70</f>
        <v>1798</v>
      </c>
      <c r="Q70" s="117">
        <f>SUM(Q71:Q72)</f>
        <v>250</v>
      </c>
      <c r="R70" s="326">
        <f t="shared" ref="R70:AC70" si="38">SUM(R71:R72)</f>
        <v>0</v>
      </c>
      <c r="S70" s="117">
        <f t="shared" si="38"/>
        <v>0</v>
      </c>
      <c r="T70" s="117">
        <f t="shared" si="38"/>
        <v>250</v>
      </c>
      <c r="U70" s="117">
        <f t="shared" si="38"/>
        <v>1548</v>
      </c>
      <c r="V70" s="117">
        <f t="shared" si="38"/>
        <v>0</v>
      </c>
      <c r="W70" s="117">
        <f t="shared" si="38"/>
        <v>1548</v>
      </c>
      <c r="X70" s="117">
        <f t="shared" si="38"/>
        <v>1548</v>
      </c>
      <c r="Y70" s="117">
        <f t="shared" si="38"/>
        <v>0</v>
      </c>
      <c r="Z70" s="117">
        <f t="shared" si="38"/>
        <v>1548</v>
      </c>
      <c r="AA70" s="117">
        <f t="shared" si="38"/>
        <v>0</v>
      </c>
      <c r="AB70" s="117">
        <f t="shared" si="38"/>
        <v>300</v>
      </c>
      <c r="AC70" s="117">
        <f t="shared" si="38"/>
        <v>300</v>
      </c>
      <c r="AD70" s="326"/>
      <c r="AE70" s="34">
        <f t="shared" si="37"/>
        <v>300</v>
      </c>
      <c r="AF70" s="34"/>
      <c r="AG70" s="90" t="s">
        <v>37</v>
      </c>
      <c r="AH70" s="95"/>
    </row>
    <row r="71" spans="1:34" s="68" customFormat="1" ht="23.25" hidden="1">
      <c r="A71" s="59"/>
      <c r="B71" s="60"/>
      <c r="C71" s="60"/>
      <c r="D71" s="60"/>
      <c r="E71" s="118" t="s">
        <v>201</v>
      </c>
      <c r="F71" s="42"/>
      <c r="G71" s="42"/>
      <c r="H71" s="119" t="s">
        <v>150</v>
      </c>
      <c r="I71" s="119" t="s">
        <v>150</v>
      </c>
      <c r="J71" s="120">
        <v>899.84</v>
      </c>
      <c r="K71" s="327"/>
      <c r="L71" s="63">
        <f>J71+K71</f>
        <v>899.84</v>
      </c>
      <c r="M71" s="63"/>
      <c r="N71" s="120">
        <v>899.84</v>
      </c>
      <c r="O71" s="338"/>
      <c r="P71" s="120">
        <f>SUM(N71:O71)</f>
        <v>899.84</v>
      </c>
      <c r="Q71" s="120">
        <v>125</v>
      </c>
      <c r="R71" s="338"/>
      <c r="S71" s="120"/>
      <c r="T71" s="63">
        <f>SUM(Q71:S71)</f>
        <v>125</v>
      </c>
      <c r="U71" s="63">
        <f>J71-Q71-S71</f>
        <v>774.84</v>
      </c>
      <c r="V71" s="63">
        <f>K71-R71</f>
        <v>0</v>
      </c>
      <c r="W71" s="63">
        <f>SUM(U71:V71)</f>
        <v>774.84</v>
      </c>
      <c r="X71" s="63">
        <f>N71-Q71-S71</f>
        <v>774.84</v>
      </c>
      <c r="Y71" s="63">
        <f>O71-R71</f>
        <v>0</v>
      </c>
      <c r="Z71" s="63">
        <f>SUM(X71:Y71)</f>
        <v>774.84</v>
      </c>
      <c r="AA71" s="63"/>
      <c r="AB71" s="63">
        <v>150</v>
      </c>
      <c r="AC71" s="34">
        <f t="shared" si="36"/>
        <v>150</v>
      </c>
      <c r="AD71" s="319"/>
      <c r="AE71" s="34">
        <f t="shared" si="37"/>
        <v>150</v>
      </c>
      <c r="AF71" s="34"/>
      <c r="AG71" s="121" t="s">
        <v>37</v>
      </c>
      <c r="AH71" s="122"/>
    </row>
    <row r="72" spans="1:34" s="68" customFormat="1" ht="23.25" hidden="1">
      <c r="A72" s="59"/>
      <c r="B72" s="60"/>
      <c r="C72" s="60"/>
      <c r="D72" s="60"/>
      <c r="E72" s="118" t="s">
        <v>202</v>
      </c>
      <c r="F72" s="42"/>
      <c r="G72" s="42"/>
      <c r="H72" s="119" t="s">
        <v>150</v>
      </c>
      <c r="I72" s="119" t="s">
        <v>150</v>
      </c>
      <c r="J72" s="120">
        <v>898.16</v>
      </c>
      <c r="K72" s="327"/>
      <c r="L72" s="63">
        <f>J72+K72</f>
        <v>898.16</v>
      </c>
      <c r="M72" s="63"/>
      <c r="N72" s="120">
        <v>898.16</v>
      </c>
      <c r="O72" s="338"/>
      <c r="P72" s="120">
        <f>SUM(N72:O72)</f>
        <v>898.16</v>
      </c>
      <c r="Q72" s="120">
        <v>125</v>
      </c>
      <c r="R72" s="338"/>
      <c r="S72" s="120"/>
      <c r="T72" s="63">
        <f>SUM(Q72:S72)</f>
        <v>125</v>
      </c>
      <c r="U72" s="63">
        <f>J72-Q72-S72</f>
        <v>773.16</v>
      </c>
      <c r="V72" s="63">
        <f>K72-R72</f>
        <v>0</v>
      </c>
      <c r="W72" s="63">
        <f>SUM(U72:V72)</f>
        <v>773.16</v>
      </c>
      <c r="X72" s="63">
        <f>N72-Q72-S72</f>
        <v>773.16</v>
      </c>
      <c r="Y72" s="63">
        <f>O72-R72</f>
        <v>0</v>
      </c>
      <c r="Z72" s="63">
        <f>SUM(X72:Y72)</f>
        <v>773.16</v>
      </c>
      <c r="AA72" s="63"/>
      <c r="AB72" s="63">
        <v>150</v>
      </c>
      <c r="AC72" s="34">
        <f t="shared" si="36"/>
        <v>150</v>
      </c>
      <c r="AD72" s="319"/>
      <c r="AE72" s="34">
        <f t="shared" si="37"/>
        <v>150</v>
      </c>
      <c r="AF72" s="34"/>
      <c r="AG72" s="121" t="s">
        <v>37</v>
      </c>
      <c r="AH72" s="122"/>
    </row>
    <row r="73" spans="1:34" ht="23.25" hidden="1">
      <c r="A73" s="28">
        <v>6</v>
      </c>
      <c r="B73" s="29" t="s">
        <v>190</v>
      </c>
      <c r="C73" s="29" t="s">
        <v>203</v>
      </c>
      <c r="D73" s="29" t="s">
        <v>83</v>
      </c>
      <c r="E73" s="116" t="s">
        <v>204</v>
      </c>
      <c r="F73" s="42">
        <v>1</v>
      </c>
      <c r="G73" s="42"/>
      <c r="H73" s="93" t="s">
        <v>150</v>
      </c>
      <c r="I73" s="93" t="s">
        <v>150</v>
      </c>
      <c r="J73" s="107">
        <v>1495</v>
      </c>
      <c r="K73" s="328"/>
      <c r="L73" s="33">
        <f>J73+K73</f>
        <v>1495</v>
      </c>
      <c r="M73" s="33"/>
      <c r="N73" s="89">
        <v>716.21</v>
      </c>
      <c r="O73" s="321"/>
      <c r="P73" s="89">
        <f t="shared" ref="P73:P81" si="39">SUM(N73:O73)</f>
        <v>716.21</v>
      </c>
      <c r="Q73" s="89">
        <v>300</v>
      </c>
      <c r="R73" s="317"/>
      <c r="S73" s="33"/>
      <c r="T73" s="33">
        <f t="shared" si="35"/>
        <v>300</v>
      </c>
      <c r="U73" s="33">
        <f t="shared" ref="U73:U81" si="40">J73-Q73-S73</f>
        <v>1195</v>
      </c>
      <c r="V73" s="33">
        <f t="shared" ref="V73:V81" si="41">K73-R73</f>
        <v>0</v>
      </c>
      <c r="W73" s="33">
        <f t="shared" ref="W73:W81" si="42">SUM(U73:V73)</f>
        <v>1195</v>
      </c>
      <c r="X73" s="33">
        <f t="shared" ref="X73:X81" si="43">N73-Q73-S73</f>
        <v>416.21000000000004</v>
      </c>
      <c r="Y73" s="33">
        <f t="shared" ref="Y73:Y81" si="44">O73-R73</f>
        <v>0</v>
      </c>
      <c r="Z73" s="33">
        <f t="shared" ref="Z73:Z81" si="45">SUM(X73:Y73)</f>
        <v>416.21000000000004</v>
      </c>
      <c r="AA73" s="33"/>
      <c r="AB73" s="33">
        <v>150</v>
      </c>
      <c r="AC73" s="34">
        <f t="shared" si="36"/>
        <v>150</v>
      </c>
      <c r="AD73" s="317"/>
      <c r="AE73" s="34">
        <f t="shared" si="37"/>
        <v>150</v>
      </c>
      <c r="AF73" s="34"/>
      <c r="AG73" s="90" t="s">
        <v>37</v>
      </c>
      <c r="AH73" s="95"/>
    </row>
    <row r="74" spans="1:34" ht="23.25" hidden="1">
      <c r="A74" s="28">
        <v>7</v>
      </c>
      <c r="B74" s="29" t="s">
        <v>190</v>
      </c>
      <c r="C74" s="29" t="s">
        <v>205</v>
      </c>
      <c r="D74" s="29" t="s">
        <v>83</v>
      </c>
      <c r="E74" s="116" t="s">
        <v>206</v>
      </c>
      <c r="F74" s="42">
        <v>1</v>
      </c>
      <c r="G74" s="42"/>
      <c r="H74" s="93" t="s">
        <v>150</v>
      </c>
      <c r="I74" s="93" t="s">
        <v>150</v>
      </c>
      <c r="J74" s="107">
        <v>4670</v>
      </c>
      <c r="K74" s="328"/>
      <c r="L74" s="33">
        <f>J74+K74</f>
        <v>4670</v>
      </c>
      <c r="M74" s="33"/>
      <c r="N74" s="89">
        <v>1447.7</v>
      </c>
      <c r="O74" s="321"/>
      <c r="P74" s="89">
        <f t="shared" si="39"/>
        <v>1447.7</v>
      </c>
      <c r="Q74" s="89">
        <v>300</v>
      </c>
      <c r="R74" s="317"/>
      <c r="S74" s="33"/>
      <c r="T74" s="33">
        <f t="shared" si="35"/>
        <v>300</v>
      </c>
      <c r="U74" s="33">
        <f t="shared" si="40"/>
        <v>4370</v>
      </c>
      <c r="V74" s="33">
        <f t="shared" si="41"/>
        <v>0</v>
      </c>
      <c r="W74" s="33">
        <f t="shared" si="42"/>
        <v>4370</v>
      </c>
      <c r="X74" s="33">
        <f t="shared" si="43"/>
        <v>1147.7</v>
      </c>
      <c r="Y74" s="33">
        <f t="shared" si="44"/>
        <v>0</v>
      </c>
      <c r="Z74" s="33">
        <f t="shared" si="45"/>
        <v>1147.7</v>
      </c>
      <c r="AA74" s="33"/>
      <c r="AB74" s="33">
        <v>200</v>
      </c>
      <c r="AC74" s="34">
        <f t="shared" si="36"/>
        <v>200</v>
      </c>
      <c r="AD74" s="317"/>
      <c r="AE74" s="34">
        <f t="shared" si="37"/>
        <v>200</v>
      </c>
      <c r="AF74" s="34"/>
      <c r="AG74" s="90" t="s">
        <v>37</v>
      </c>
      <c r="AH74" s="95"/>
    </row>
    <row r="75" spans="1:34" ht="23.25" hidden="1">
      <c r="A75" s="28">
        <v>8</v>
      </c>
      <c r="B75" s="29" t="s">
        <v>190</v>
      </c>
      <c r="C75" s="29" t="s">
        <v>207</v>
      </c>
      <c r="D75" s="29" t="s">
        <v>83</v>
      </c>
      <c r="E75" s="96" t="s">
        <v>208</v>
      </c>
      <c r="F75" s="42">
        <v>1</v>
      </c>
      <c r="G75" s="42"/>
      <c r="H75" s="93" t="s">
        <v>150</v>
      </c>
      <c r="I75" s="93" t="s">
        <v>150</v>
      </c>
      <c r="J75" s="33">
        <v>3900</v>
      </c>
      <c r="K75" s="321"/>
      <c r="L75" s="33">
        <f>J75</f>
        <v>3900</v>
      </c>
      <c r="M75" s="33"/>
      <c r="N75" s="44">
        <v>1259</v>
      </c>
      <c r="O75" s="321"/>
      <c r="P75" s="89">
        <f t="shared" si="39"/>
        <v>1259</v>
      </c>
      <c r="Q75" s="89">
        <v>250</v>
      </c>
      <c r="R75" s="322"/>
      <c r="S75" s="87"/>
      <c r="T75" s="33">
        <f t="shared" si="35"/>
        <v>250</v>
      </c>
      <c r="U75" s="33">
        <f t="shared" si="40"/>
        <v>3650</v>
      </c>
      <c r="V75" s="33">
        <f t="shared" si="41"/>
        <v>0</v>
      </c>
      <c r="W75" s="33">
        <f t="shared" si="42"/>
        <v>3650</v>
      </c>
      <c r="X75" s="33">
        <f t="shared" si="43"/>
        <v>1009</v>
      </c>
      <c r="Y75" s="33">
        <f t="shared" si="44"/>
        <v>0</v>
      </c>
      <c r="Z75" s="33">
        <f t="shared" si="45"/>
        <v>1009</v>
      </c>
      <c r="AA75" s="33"/>
      <c r="AB75" s="33">
        <v>400</v>
      </c>
      <c r="AC75" s="34">
        <f t="shared" si="36"/>
        <v>400</v>
      </c>
      <c r="AD75" s="317"/>
      <c r="AE75" s="34">
        <f t="shared" si="37"/>
        <v>400</v>
      </c>
      <c r="AF75" s="34"/>
      <c r="AG75" s="90" t="s">
        <v>37</v>
      </c>
      <c r="AH75" s="95"/>
    </row>
    <row r="76" spans="1:34" ht="46.5" hidden="1">
      <c r="A76" s="28">
        <v>9</v>
      </c>
      <c r="B76" s="29" t="s">
        <v>190</v>
      </c>
      <c r="C76" s="29" t="s">
        <v>209</v>
      </c>
      <c r="D76" s="29" t="s">
        <v>83</v>
      </c>
      <c r="E76" s="96" t="s">
        <v>210</v>
      </c>
      <c r="F76" s="42">
        <v>1</v>
      </c>
      <c r="G76" s="42"/>
      <c r="H76" s="43" t="s">
        <v>74</v>
      </c>
      <c r="I76" s="43" t="s">
        <v>74</v>
      </c>
      <c r="J76" s="33">
        <v>899</v>
      </c>
      <c r="K76" s="321"/>
      <c r="L76" s="33">
        <f>J76</f>
        <v>899</v>
      </c>
      <c r="M76" s="33"/>
      <c r="N76" s="33">
        <v>899</v>
      </c>
      <c r="O76" s="321"/>
      <c r="P76" s="89">
        <f t="shared" si="39"/>
        <v>899</v>
      </c>
      <c r="Q76" s="89">
        <v>150</v>
      </c>
      <c r="R76" s="322"/>
      <c r="S76" s="87"/>
      <c r="T76" s="33">
        <f t="shared" si="35"/>
        <v>150</v>
      </c>
      <c r="U76" s="33">
        <f t="shared" si="40"/>
        <v>749</v>
      </c>
      <c r="V76" s="33">
        <f t="shared" si="41"/>
        <v>0</v>
      </c>
      <c r="W76" s="33">
        <f t="shared" si="42"/>
        <v>749</v>
      </c>
      <c r="X76" s="33">
        <f t="shared" si="43"/>
        <v>749</v>
      </c>
      <c r="Y76" s="33">
        <f t="shared" si="44"/>
        <v>0</v>
      </c>
      <c r="Z76" s="33">
        <f t="shared" si="45"/>
        <v>749</v>
      </c>
      <c r="AA76" s="33">
        <v>150</v>
      </c>
      <c r="AB76" s="33">
        <v>100</v>
      </c>
      <c r="AC76" s="34">
        <f t="shared" si="36"/>
        <v>250</v>
      </c>
      <c r="AD76" s="317"/>
      <c r="AE76" s="34">
        <f t="shared" si="37"/>
        <v>250</v>
      </c>
      <c r="AF76" s="34"/>
      <c r="AG76" s="90" t="s">
        <v>37</v>
      </c>
      <c r="AH76" s="95"/>
    </row>
    <row r="77" spans="1:34" ht="23.25" hidden="1">
      <c r="A77" s="28">
        <v>10</v>
      </c>
      <c r="B77" s="29" t="s">
        <v>190</v>
      </c>
      <c r="C77" s="29" t="s">
        <v>211</v>
      </c>
      <c r="D77" s="29" t="s">
        <v>83</v>
      </c>
      <c r="E77" s="116" t="s">
        <v>212</v>
      </c>
      <c r="F77" s="42">
        <v>1</v>
      </c>
      <c r="G77" s="42"/>
      <c r="H77" s="93" t="s">
        <v>150</v>
      </c>
      <c r="I77" s="93" t="s">
        <v>150</v>
      </c>
      <c r="J77" s="107">
        <v>1164</v>
      </c>
      <c r="K77" s="328"/>
      <c r="L77" s="33">
        <f>J77+K77</f>
        <v>1164</v>
      </c>
      <c r="M77" s="33"/>
      <c r="N77" s="89">
        <v>786.46</v>
      </c>
      <c r="O77" s="325"/>
      <c r="P77" s="89">
        <f t="shared" si="39"/>
        <v>786.46</v>
      </c>
      <c r="Q77" s="89">
        <v>150</v>
      </c>
      <c r="R77" s="325"/>
      <c r="S77" s="89"/>
      <c r="T77" s="33">
        <f t="shared" si="35"/>
        <v>150</v>
      </c>
      <c r="U77" s="33">
        <f t="shared" si="40"/>
        <v>1014</v>
      </c>
      <c r="V77" s="33">
        <f t="shared" si="41"/>
        <v>0</v>
      </c>
      <c r="W77" s="33">
        <f t="shared" si="42"/>
        <v>1014</v>
      </c>
      <c r="X77" s="33">
        <f t="shared" si="43"/>
        <v>636.46</v>
      </c>
      <c r="Y77" s="33">
        <f t="shared" si="44"/>
        <v>0</v>
      </c>
      <c r="Z77" s="33">
        <f t="shared" si="45"/>
        <v>636.46</v>
      </c>
      <c r="AA77" s="33"/>
      <c r="AB77" s="33">
        <v>500</v>
      </c>
      <c r="AC77" s="34">
        <f t="shared" si="36"/>
        <v>500</v>
      </c>
      <c r="AD77" s="317"/>
      <c r="AE77" s="34">
        <f t="shared" si="37"/>
        <v>500</v>
      </c>
      <c r="AF77" s="34"/>
      <c r="AG77" s="90" t="s">
        <v>37</v>
      </c>
      <c r="AH77" s="95"/>
    </row>
    <row r="78" spans="1:34" ht="23.25" hidden="1">
      <c r="A78" s="28">
        <v>11</v>
      </c>
      <c r="B78" s="29" t="s">
        <v>190</v>
      </c>
      <c r="C78" s="29" t="s">
        <v>213</v>
      </c>
      <c r="D78" s="29" t="s">
        <v>83</v>
      </c>
      <c r="E78" s="116" t="s">
        <v>214</v>
      </c>
      <c r="F78" s="42">
        <v>1</v>
      </c>
      <c r="G78" s="42"/>
      <c r="H78" s="93" t="s">
        <v>150</v>
      </c>
      <c r="I78" s="93" t="s">
        <v>150</v>
      </c>
      <c r="J78" s="107">
        <v>899</v>
      </c>
      <c r="K78" s="328"/>
      <c r="L78" s="33">
        <f>J78+K78</f>
        <v>899</v>
      </c>
      <c r="M78" s="33"/>
      <c r="N78" s="89">
        <v>898.57</v>
      </c>
      <c r="O78" s="325"/>
      <c r="P78" s="89">
        <f t="shared" si="39"/>
        <v>898.57</v>
      </c>
      <c r="Q78" s="89">
        <v>150</v>
      </c>
      <c r="R78" s="325"/>
      <c r="S78" s="89"/>
      <c r="T78" s="33">
        <f t="shared" si="35"/>
        <v>150</v>
      </c>
      <c r="U78" s="33">
        <f t="shared" si="40"/>
        <v>749</v>
      </c>
      <c r="V78" s="33">
        <f t="shared" si="41"/>
        <v>0</v>
      </c>
      <c r="W78" s="33">
        <f t="shared" si="42"/>
        <v>749</v>
      </c>
      <c r="X78" s="33">
        <f t="shared" si="43"/>
        <v>748.57</v>
      </c>
      <c r="Y78" s="33">
        <f t="shared" si="44"/>
        <v>0</v>
      </c>
      <c r="Z78" s="33">
        <f t="shared" si="45"/>
        <v>748.57</v>
      </c>
      <c r="AA78" s="33">
        <v>150</v>
      </c>
      <c r="AB78" s="33">
        <v>100</v>
      </c>
      <c r="AC78" s="34">
        <f t="shared" si="36"/>
        <v>250</v>
      </c>
      <c r="AD78" s="317"/>
      <c r="AE78" s="34">
        <f t="shared" si="37"/>
        <v>250</v>
      </c>
      <c r="AF78" s="34"/>
      <c r="AG78" s="90" t="s">
        <v>37</v>
      </c>
      <c r="AH78" s="95"/>
    </row>
    <row r="79" spans="1:34" ht="23.25" hidden="1">
      <c r="A79" s="28">
        <v>12</v>
      </c>
      <c r="B79" s="29" t="s">
        <v>190</v>
      </c>
      <c r="C79" s="29" t="s">
        <v>215</v>
      </c>
      <c r="D79" s="29" t="s">
        <v>83</v>
      </c>
      <c r="E79" s="96" t="s">
        <v>216</v>
      </c>
      <c r="F79" s="42">
        <v>1</v>
      </c>
      <c r="G79" s="42"/>
      <c r="H79" s="93" t="s">
        <v>150</v>
      </c>
      <c r="I79" s="93" t="s">
        <v>150</v>
      </c>
      <c r="J79" s="33">
        <v>2982</v>
      </c>
      <c r="K79" s="321"/>
      <c r="L79" s="33">
        <f>J79</f>
        <v>2982</v>
      </c>
      <c r="M79" s="33"/>
      <c r="N79" s="44">
        <f>J79*34/100</f>
        <v>1013.88</v>
      </c>
      <c r="O79" s="321"/>
      <c r="P79" s="89">
        <f t="shared" si="39"/>
        <v>1013.88</v>
      </c>
      <c r="Q79" s="89">
        <v>150</v>
      </c>
      <c r="R79" s="322"/>
      <c r="S79" s="87"/>
      <c r="T79" s="33">
        <f t="shared" si="35"/>
        <v>150</v>
      </c>
      <c r="U79" s="33">
        <f t="shared" si="40"/>
        <v>2832</v>
      </c>
      <c r="V79" s="33">
        <f t="shared" si="41"/>
        <v>0</v>
      </c>
      <c r="W79" s="33">
        <f t="shared" si="42"/>
        <v>2832</v>
      </c>
      <c r="X79" s="33">
        <f t="shared" si="43"/>
        <v>863.88</v>
      </c>
      <c r="Y79" s="33">
        <f t="shared" si="44"/>
        <v>0</v>
      </c>
      <c r="Z79" s="33">
        <f t="shared" si="45"/>
        <v>863.88</v>
      </c>
      <c r="AA79" s="33">
        <v>150</v>
      </c>
      <c r="AB79" s="33">
        <v>100</v>
      </c>
      <c r="AC79" s="34">
        <f t="shared" si="36"/>
        <v>250</v>
      </c>
      <c r="AD79" s="317"/>
      <c r="AE79" s="34">
        <f t="shared" si="37"/>
        <v>250</v>
      </c>
      <c r="AF79" s="34"/>
      <c r="AG79" s="90" t="s">
        <v>37</v>
      </c>
      <c r="AH79" s="95"/>
    </row>
    <row r="80" spans="1:34" ht="46.5" hidden="1">
      <c r="A80" s="28">
        <v>13</v>
      </c>
      <c r="B80" s="29" t="s">
        <v>190</v>
      </c>
      <c r="C80" s="29" t="s">
        <v>217</v>
      </c>
      <c r="D80" s="29" t="s">
        <v>83</v>
      </c>
      <c r="E80" s="123" t="s">
        <v>218</v>
      </c>
      <c r="F80" s="42">
        <v>1</v>
      </c>
      <c r="G80" s="42"/>
      <c r="H80" s="93" t="s">
        <v>150</v>
      </c>
      <c r="I80" s="93" t="s">
        <v>150</v>
      </c>
      <c r="J80" s="107">
        <f>3746.141494+3780.45</f>
        <v>7526.5914940000002</v>
      </c>
      <c r="K80" s="328"/>
      <c r="L80" s="33">
        <f>J80+K80</f>
        <v>7526.5914940000002</v>
      </c>
      <c r="M80" s="33"/>
      <c r="N80" s="44">
        <f>J80*40/100</f>
        <v>3010.6365976000002</v>
      </c>
      <c r="O80" s="321"/>
      <c r="P80" s="89">
        <f t="shared" si="39"/>
        <v>3010.6365976000002</v>
      </c>
      <c r="Q80" s="89">
        <v>1000</v>
      </c>
      <c r="R80" s="322"/>
      <c r="S80" s="87"/>
      <c r="T80" s="33">
        <f t="shared" si="35"/>
        <v>1000</v>
      </c>
      <c r="U80" s="33">
        <f t="shared" si="40"/>
        <v>6526.5914940000002</v>
      </c>
      <c r="V80" s="33">
        <f t="shared" si="41"/>
        <v>0</v>
      </c>
      <c r="W80" s="33">
        <f t="shared" si="42"/>
        <v>6526.5914940000002</v>
      </c>
      <c r="X80" s="33">
        <f t="shared" si="43"/>
        <v>2010.6365976000002</v>
      </c>
      <c r="Y80" s="33">
        <f t="shared" si="44"/>
        <v>0</v>
      </c>
      <c r="Z80" s="33">
        <f t="shared" si="45"/>
        <v>2010.6365976000002</v>
      </c>
      <c r="AA80" s="33"/>
      <c r="AB80" s="33">
        <v>200</v>
      </c>
      <c r="AC80" s="34">
        <f t="shared" si="36"/>
        <v>200</v>
      </c>
      <c r="AD80" s="317"/>
      <c r="AE80" s="34">
        <f t="shared" si="37"/>
        <v>200</v>
      </c>
      <c r="AF80" s="34"/>
      <c r="AG80" s="90" t="s">
        <v>37</v>
      </c>
      <c r="AH80" s="95"/>
    </row>
    <row r="81" spans="1:34" ht="23.25" hidden="1">
      <c r="A81" s="28">
        <v>14</v>
      </c>
      <c r="B81" s="29" t="s">
        <v>190</v>
      </c>
      <c r="C81" s="29" t="s">
        <v>219</v>
      </c>
      <c r="D81" s="29" t="s">
        <v>83</v>
      </c>
      <c r="E81" s="116" t="s">
        <v>220</v>
      </c>
      <c r="F81" s="42">
        <v>1</v>
      </c>
      <c r="G81" s="42"/>
      <c r="H81" s="93" t="s">
        <v>150</v>
      </c>
      <c r="I81" s="93" t="s">
        <v>150</v>
      </c>
      <c r="J81" s="107">
        <v>969</v>
      </c>
      <c r="K81" s="328"/>
      <c r="L81" s="33">
        <f>J81+K81</f>
        <v>969</v>
      </c>
      <c r="M81" s="33"/>
      <c r="N81" s="44">
        <v>969</v>
      </c>
      <c r="O81" s="321"/>
      <c r="P81" s="89">
        <f t="shared" si="39"/>
        <v>969</v>
      </c>
      <c r="Q81" s="89">
        <v>200</v>
      </c>
      <c r="R81" s="322"/>
      <c r="S81" s="87"/>
      <c r="T81" s="33">
        <f t="shared" si="35"/>
        <v>200</v>
      </c>
      <c r="U81" s="33">
        <f t="shared" si="40"/>
        <v>769</v>
      </c>
      <c r="V81" s="33">
        <f t="shared" si="41"/>
        <v>0</v>
      </c>
      <c r="W81" s="33">
        <f t="shared" si="42"/>
        <v>769</v>
      </c>
      <c r="X81" s="33">
        <f t="shared" si="43"/>
        <v>769</v>
      </c>
      <c r="Y81" s="33">
        <f t="shared" si="44"/>
        <v>0</v>
      </c>
      <c r="Z81" s="33">
        <f t="shared" si="45"/>
        <v>769</v>
      </c>
      <c r="AA81" s="33"/>
      <c r="AB81" s="33">
        <v>100</v>
      </c>
      <c r="AC81" s="34">
        <f t="shared" si="36"/>
        <v>100</v>
      </c>
      <c r="AD81" s="317"/>
      <c r="AE81" s="34">
        <f t="shared" si="37"/>
        <v>100</v>
      </c>
      <c r="AF81" s="34"/>
      <c r="AG81" s="90" t="s">
        <v>37</v>
      </c>
      <c r="AH81" s="95"/>
    </row>
    <row r="82" spans="1:34" ht="23.25" hidden="1">
      <c r="A82" s="28">
        <v>15</v>
      </c>
      <c r="B82" s="29" t="s">
        <v>190</v>
      </c>
      <c r="C82" s="29" t="s">
        <v>221</v>
      </c>
      <c r="D82" s="29" t="s">
        <v>222</v>
      </c>
      <c r="E82" s="75" t="s">
        <v>223</v>
      </c>
      <c r="F82" s="42">
        <v>1</v>
      </c>
      <c r="G82" s="42"/>
      <c r="H82" s="43" t="s">
        <v>42</v>
      </c>
      <c r="I82" s="43" t="s">
        <v>42</v>
      </c>
      <c r="J82" s="33">
        <v>4000</v>
      </c>
      <c r="K82" s="317"/>
      <c r="L82" s="33">
        <f t="shared" ref="L82:L89" si="46">SUM(J82:K82)</f>
        <v>4000</v>
      </c>
      <c r="M82" s="33"/>
      <c r="N82" s="33">
        <v>1249.02</v>
      </c>
      <c r="O82" s="317"/>
      <c r="P82" s="33">
        <f>SUM(N82:O82)</f>
        <v>1249.02</v>
      </c>
      <c r="Q82" s="33">
        <f>1049.02+200</f>
        <v>1249.02</v>
      </c>
      <c r="R82" s="317"/>
      <c r="S82" s="33"/>
      <c r="T82" s="33">
        <f>SUM(Q82:S82)</f>
        <v>1249.02</v>
      </c>
      <c r="U82" s="33">
        <f>J82-Q82-S82</f>
        <v>2750.98</v>
      </c>
      <c r="V82" s="33">
        <f>K82-R82</f>
        <v>0</v>
      </c>
      <c r="W82" s="33">
        <f>SUM(U82:V82)</f>
        <v>2750.98</v>
      </c>
      <c r="X82" s="33">
        <f>N82-Q82-S82</f>
        <v>0</v>
      </c>
      <c r="Y82" s="33">
        <f>O82-R82</f>
        <v>0</v>
      </c>
      <c r="Z82" s="33">
        <f>SUM(X82:Y82)</f>
        <v>0</v>
      </c>
      <c r="AA82" s="33"/>
      <c r="AB82" s="33">
        <v>100</v>
      </c>
      <c r="AC82" s="34">
        <f t="shared" si="36"/>
        <v>100</v>
      </c>
      <c r="AD82" s="317"/>
      <c r="AE82" s="34">
        <f t="shared" si="37"/>
        <v>100</v>
      </c>
      <c r="AF82" s="34"/>
      <c r="AG82" s="88"/>
      <c r="AH82" s="46"/>
    </row>
    <row r="83" spans="1:34" ht="23.25" hidden="1">
      <c r="A83" s="28">
        <v>16</v>
      </c>
      <c r="B83" s="29" t="s">
        <v>224</v>
      </c>
      <c r="C83" s="29" t="s">
        <v>225</v>
      </c>
      <c r="D83" s="29" t="s">
        <v>81</v>
      </c>
      <c r="E83" s="47" t="s">
        <v>226</v>
      </c>
      <c r="F83" s="42">
        <v>1</v>
      </c>
      <c r="G83" s="42"/>
      <c r="H83" s="43" t="s">
        <v>46</v>
      </c>
      <c r="I83" s="43" t="s">
        <v>46</v>
      </c>
      <c r="J83" s="44">
        <v>4994</v>
      </c>
      <c r="K83" s="322"/>
      <c r="L83" s="33">
        <f t="shared" si="46"/>
        <v>4994</v>
      </c>
      <c r="M83" s="33"/>
      <c r="N83" s="44">
        <v>1000</v>
      </c>
      <c r="O83" s="322"/>
      <c r="P83" s="33">
        <f>SUM(N83:O83)</f>
        <v>1000</v>
      </c>
      <c r="Q83" s="33">
        <f>800+200</f>
        <v>1000</v>
      </c>
      <c r="R83" s="317"/>
      <c r="S83" s="33"/>
      <c r="T83" s="33">
        <f>SUM(Q83:S83)</f>
        <v>1000</v>
      </c>
      <c r="U83" s="33">
        <f>J83-Q83-S83</f>
        <v>3994</v>
      </c>
      <c r="V83" s="33">
        <f>K83-R83</f>
        <v>0</v>
      </c>
      <c r="W83" s="33">
        <f>SUM(U83:V83)</f>
        <v>3994</v>
      </c>
      <c r="X83" s="33">
        <f>N83-Q83-S83</f>
        <v>0</v>
      </c>
      <c r="Y83" s="33">
        <f>O83-R83</f>
        <v>0</v>
      </c>
      <c r="Z83" s="33">
        <f>SUM(X83:Y83)</f>
        <v>0</v>
      </c>
      <c r="AA83" s="33">
        <v>200</v>
      </c>
      <c r="AB83" s="33">
        <v>100</v>
      </c>
      <c r="AC83" s="34">
        <f t="shared" si="36"/>
        <v>300</v>
      </c>
      <c r="AD83" s="317"/>
      <c r="AE83" s="34">
        <f t="shared" si="37"/>
        <v>300</v>
      </c>
      <c r="AF83" s="34"/>
      <c r="AG83" s="88"/>
      <c r="AH83" s="46"/>
    </row>
    <row r="84" spans="1:34" ht="33.75" hidden="1">
      <c r="A84" s="105">
        <v>1</v>
      </c>
      <c r="B84" s="77"/>
      <c r="C84" s="77"/>
      <c r="D84" s="77"/>
      <c r="E84" s="124" t="s">
        <v>227</v>
      </c>
      <c r="F84" s="93">
        <v>1</v>
      </c>
      <c r="G84" s="93"/>
      <c r="H84" s="125" t="s">
        <v>35</v>
      </c>
      <c r="I84" s="125" t="s">
        <v>36</v>
      </c>
      <c r="J84" s="32">
        <v>4998</v>
      </c>
      <c r="K84" s="316"/>
      <c r="L84" s="32">
        <f t="shared" si="46"/>
        <v>4998</v>
      </c>
      <c r="M84" s="32"/>
      <c r="N84" s="25"/>
      <c r="O84" s="335"/>
      <c r="P84" s="33">
        <f t="shared" ref="P84:P85" si="47">SUM(N84:O84)</f>
        <v>0</v>
      </c>
      <c r="Q84" s="25"/>
      <c r="R84" s="335"/>
      <c r="S84" s="25"/>
      <c r="T84" s="33">
        <f t="shared" ref="T84:T91" si="48">SUM(Q84:S84)</f>
        <v>0</v>
      </c>
      <c r="U84" s="25"/>
      <c r="V84" s="25"/>
      <c r="W84" s="33">
        <f>SUM(U84:V84)</f>
        <v>0</v>
      </c>
      <c r="X84" s="25"/>
      <c r="Y84" s="25"/>
      <c r="Z84" s="33">
        <f>SUM(X84:Y84)</f>
        <v>0</v>
      </c>
      <c r="AA84" s="33"/>
      <c r="AB84" s="32">
        <v>300</v>
      </c>
      <c r="AC84" s="34">
        <f t="shared" si="36"/>
        <v>300</v>
      </c>
      <c r="AD84" s="316"/>
      <c r="AE84" s="34">
        <f t="shared" si="37"/>
        <v>300</v>
      </c>
      <c r="AF84" s="34"/>
      <c r="AG84" s="35" t="s">
        <v>37</v>
      </c>
      <c r="AH84" s="24"/>
    </row>
    <row r="85" spans="1:34" ht="33.75" hidden="1">
      <c r="A85" s="105">
        <v>2</v>
      </c>
      <c r="B85" s="77"/>
      <c r="C85" s="77"/>
      <c r="D85" s="77"/>
      <c r="E85" s="102" t="s">
        <v>228</v>
      </c>
      <c r="F85" s="93">
        <v>1</v>
      </c>
      <c r="G85" s="93"/>
      <c r="H85" s="125" t="s">
        <v>35</v>
      </c>
      <c r="I85" s="125" t="s">
        <v>36</v>
      </c>
      <c r="J85" s="32">
        <v>950</v>
      </c>
      <c r="K85" s="316"/>
      <c r="L85" s="32">
        <f t="shared" si="46"/>
        <v>950</v>
      </c>
      <c r="M85" s="32"/>
      <c r="N85" s="25"/>
      <c r="O85" s="335"/>
      <c r="P85" s="33">
        <f t="shared" si="47"/>
        <v>0</v>
      </c>
      <c r="Q85" s="25"/>
      <c r="R85" s="335"/>
      <c r="S85" s="25"/>
      <c r="T85" s="33">
        <f t="shared" si="48"/>
        <v>0</v>
      </c>
      <c r="U85" s="25"/>
      <c r="V85" s="25"/>
      <c r="W85" s="33">
        <f>SUM(U85:V85)</f>
        <v>0</v>
      </c>
      <c r="X85" s="25"/>
      <c r="Y85" s="25"/>
      <c r="Z85" s="33">
        <f>SUM(X85:Y85)</f>
        <v>0</v>
      </c>
      <c r="AA85" s="33"/>
      <c r="AB85" s="32">
        <v>200</v>
      </c>
      <c r="AC85" s="34">
        <f t="shared" si="36"/>
        <v>200</v>
      </c>
      <c r="AD85" s="316"/>
      <c r="AE85" s="34">
        <f t="shared" si="37"/>
        <v>200</v>
      </c>
      <c r="AF85" s="34"/>
      <c r="AG85" s="35" t="s">
        <v>37</v>
      </c>
      <c r="AH85" s="24"/>
    </row>
    <row r="86" spans="1:34" ht="23.25" hidden="1">
      <c r="A86" s="28">
        <v>1</v>
      </c>
      <c r="B86" s="29" t="s">
        <v>231</v>
      </c>
      <c r="C86" s="29" t="s">
        <v>232</v>
      </c>
      <c r="D86" s="29" t="s">
        <v>83</v>
      </c>
      <c r="E86" s="75" t="s">
        <v>233</v>
      </c>
      <c r="F86" s="42">
        <v>1</v>
      </c>
      <c r="G86" s="42"/>
      <c r="H86" s="43" t="s">
        <v>49</v>
      </c>
      <c r="I86" s="43" t="s">
        <v>49</v>
      </c>
      <c r="J86" s="44">
        <v>4941</v>
      </c>
      <c r="K86" s="321"/>
      <c r="L86" s="44">
        <f t="shared" si="46"/>
        <v>4941</v>
      </c>
      <c r="M86" s="44"/>
      <c r="N86" s="44">
        <v>3464.58</v>
      </c>
      <c r="O86" s="321"/>
      <c r="P86" s="44">
        <f>N86+O86</f>
        <v>3464.58</v>
      </c>
      <c r="Q86" s="44">
        <f>1000+1000</f>
        <v>2000</v>
      </c>
      <c r="R86" s="321"/>
      <c r="S86" s="44"/>
      <c r="T86" s="33">
        <f t="shared" si="48"/>
        <v>2000</v>
      </c>
      <c r="U86" s="33">
        <f t="shared" ref="U86:U91" si="49">J86-Q86-S86</f>
        <v>2941</v>
      </c>
      <c r="V86" s="33">
        <f t="shared" ref="V86:V91" si="50">K86-R86</f>
        <v>0</v>
      </c>
      <c r="W86" s="33">
        <f t="shared" ref="W86:W91" si="51">SUM(U86:V86)</f>
        <v>2941</v>
      </c>
      <c r="X86" s="33">
        <f t="shared" ref="X86:X91" si="52">N86-Q86-S86</f>
        <v>1464.58</v>
      </c>
      <c r="Y86" s="33">
        <f t="shared" ref="Y86:Y91" si="53">O86-R86</f>
        <v>0</v>
      </c>
      <c r="Z86" s="33">
        <f t="shared" ref="Z86:Z91" si="54">SUM(X86:Y86)</f>
        <v>1464.58</v>
      </c>
      <c r="AA86" s="33"/>
      <c r="AB86" s="33">
        <v>500</v>
      </c>
      <c r="AC86" s="34">
        <f t="shared" si="36"/>
        <v>500</v>
      </c>
      <c r="AD86" s="317"/>
      <c r="AE86" s="34">
        <f t="shared" si="37"/>
        <v>500</v>
      </c>
      <c r="AF86" s="34"/>
      <c r="AG86" s="88"/>
      <c r="AH86" s="46"/>
    </row>
    <row r="87" spans="1:34" ht="23.25" hidden="1">
      <c r="A87" s="28">
        <v>2</v>
      </c>
      <c r="B87" s="29" t="s">
        <v>231</v>
      </c>
      <c r="C87" s="29" t="s">
        <v>234</v>
      </c>
      <c r="D87" s="29" t="s">
        <v>83</v>
      </c>
      <c r="E87" s="30" t="s">
        <v>235</v>
      </c>
      <c r="F87" s="42">
        <v>1</v>
      </c>
      <c r="G87" s="42"/>
      <c r="H87" s="43" t="s">
        <v>49</v>
      </c>
      <c r="I87" s="43" t="s">
        <v>49</v>
      </c>
      <c r="J87" s="44">
        <v>2022</v>
      </c>
      <c r="K87" s="321"/>
      <c r="L87" s="44">
        <f t="shared" si="46"/>
        <v>2022</v>
      </c>
      <c r="M87" s="44"/>
      <c r="N87" s="44">
        <v>1414.8</v>
      </c>
      <c r="O87" s="321"/>
      <c r="P87" s="44">
        <f>N87+O87</f>
        <v>1414.8</v>
      </c>
      <c r="Q87" s="44">
        <f>362.88+400</f>
        <v>762.88</v>
      </c>
      <c r="R87" s="321"/>
      <c r="S87" s="44"/>
      <c r="T87" s="33">
        <f t="shared" si="48"/>
        <v>762.88</v>
      </c>
      <c r="U87" s="33">
        <f t="shared" si="49"/>
        <v>1259.1199999999999</v>
      </c>
      <c r="V87" s="33">
        <f t="shared" si="50"/>
        <v>0</v>
      </c>
      <c r="W87" s="33">
        <f t="shared" si="51"/>
        <v>1259.1199999999999</v>
      </c>
      <c r="X87" s="33">
        <f t="shared" si="52"/>
        <v>651.91999999999996</v>
      </c>
      <c r="Y87" s="33">
        <f t="shared" si="53"/>
        <v>0</v>
      </c>
      <c r="Z87" s="33">
        <f t="shared" si="54"/>
        <v>651.91999999999996</v>
      </c>
      <c r="AA87" s="33"/>
      <c r="AB87" s="33">
        <v>400</v>
      </c>
      <c r="AC87" s="34">
        <f t="shared" si="36"/>
        <v>400</v>
      </c>
      <c r="AD87" s="317"/>
      <c r="AE87" s="34">
        <f t="shared" si="37"/>
        <v>400</v>
      </c>
      <c r="AF87" s="34"/>
      <c r="AG87" s="88"/>
      <c r="AH87" s="46"/>
    </row>
    <row r="88" spans="1:34" ht="23.25" hidden="1">
      <c r="A88" s="28">
        <v>3</v>
      </c>
      <c r="B88" s="29" t="s">
        <v>231</v>
      </c>
      <c r="C88" s="29" t="s">
        <v>236</v>
      </c>
      <c r="D88" s="29" t="s">
        <v>83</v>
      </c>
      <c r="E88" s="75" t="s">
        <v>237</v>
      </c>
      <c r="F88" s="42">
        <v>1</v>
      </c>
      <c r="G88" s="42"/>
      <c r="H88" s="43" t="s">
        <v>67</v>
      </c>
      <c r="I88" s="43" t="s">
        <v>67</v>
      </c>
      <c r="J88" s="44">
        <v>4800</v>
      </c>
      <c r="K88" s="321"/>
      <c r="L88" s="44">
        <f t="shared" si="46"/>
        <v>4800</v>
      </c>
      <c r="M88" s="44"/>
      <c r="N88" s="44">
        <v>2160</v>
      </c>
      <c r="O88" s="321"/>
      <c r="P88" s="44">
        <f t="shared" ref="P88:P93" si="55">SUM(N88:O88)</f>
        <v>2160</v>
      </c>
      <c r="Q88" s="44">
        <f>321.71+500</f>
        <v>821.71</v>
      </c>
      <c r="R88" s="321"/>
      <c r="S88" s="44"/>
      <c r="T88" s="33">
        <f t="shared" si="48"/>
        <v>821.71</v>
      </c>
      <c r="U88" s="33">
        <f t="shared" si="49"/>
        <v>3978.29</v>
      </c>
      <c r="V88" s="33">
        <f t="shared" si="50"/>
        <v>0</v>
      </c>
      <c r="W88" s="33">
        <f t="shared" si="51"/>
        <v>3978.29</v>
      </c>
      <c r="X88" s="33">
        <f t="shared" si="52"/>
        <v>1338.29</v>
      </c>
      <c r="Y88" s="33">
        <f t="shared" si="53"/>
        <v>0</v>
      </c>
      <c r="Z88" s="33">
        <f t="shared" si="54"/>
        <v>1338.29</v>
      </c>
      <c r="AA88" s="33">
        <v>25.03</v>
      </c>
      <c r="AB88" s="33">
        <v>700</v>
      </c>
      <c r="AC88" s="34">
        <f t="shared" si="36"/>
        <v>725.03</v>
      </c>
      <c r="AD88" s="317"/>
      <c r="AE88" s="34">
        <f t="shared" si="37"/>
        <v>725.03</v>
      </c>
      <c r="AF88" s="34"/>
      <c r="AG88" s="90" t="s">
        <v>37</v>
      </c>
      <c r="AH88" s="91"/>
    </row>
    <row r="89" spans="1:34" ht="23.25" hidden="1">
      <c r="A89" s="28">
        <v>4</v>
      </c>
      <c r="B89" s="29" t="s">
        <v>231</v>
      </c>
      <c r="C89" s="29" t="s">
        <v>238</v>
      </c>
      <c r="D89" s="29" t="s">
        <v>83</v>
      </c>
      <c r="E89" s="75" t="s">
        <v>239</v>
      </c>
      <c r="F89" s="42">
        <v>1</v>
      </c>
      <c r="G89" s="42"/>
      <c r="H89" s="43" t="s">
        <v>67</v>
      </c>
      <c r="I89" s="43" t="s">
        <v>67</v>
      </c>
      <c r="J89" s="44">
        <v>2032</v>
      </c>
      <c r="K89" s="321"/>
      <c r="L89" s="44">
        <f t="shared" si="46"/>
        <v>2032</v>
      </c>
      <c r="M89" s="44"/>
      <c r="N89" s="44">
        <v>1301.69</v>
      </c>
      <c r="O89" s="321"/>
      <c r="P89" s="44">
        <f t="shared" si="55"/>
        <v>1301.69</v>
      </c>
      <c r="Q89" s="44">
        <f>300+650</f>
        <v>950</v>
      </c>
      <c r="R89" s="321"/>
      <c r="S89" s="44"/>
      <c r="T89" s="33">
        <f t="shared" si="48"/>
        <v>950</v>
      </c>
      <c r="U89" s="33">
        <f t="shared" si="49"/>
        <v>1082</v>
      </c>
      <c r="V89" s="33">
        <f t="shared" si="50"/>
        <v>0</v>
      </c>
      <c r="W89" s="33">
        <f t="shared" si="51"/>
        <v>1082</v>
      </c>
      <c r="X89" s="33">
        <f t="shared" si="52"/>
        <v>351.69000000000005</v>
      </c>
      <c r="Y89" s="33">
        <f t="shared" si="53"/>
        <v>0</v>
      </c>
      <c r="Z89" s="33">
        <f t="shared" si="54"/>
        <v>351.69000000000005</v>
      </c>
      <c r="AA89" s="33"/>
      <c r="AB89" s="33">
        <v>150</v>
      </c>
      <c r="AC89" s="34">
        <f t="shared" si="36"/>
        <v>150</v>
      </c>
      <c r="AD89" s="317"/>
      <c r="AE89" s="34">
        <f t="shared" si="37"/>
        <v>150</v>
      </c>
      <c r="AF89" s="34"/>
      <c r="AG89" s="90" t="s">
        <v>37</v>
      </c>
      <c r="AH89" s="91"/>
    </row>
    <row r="90" spans="1:34" ht="23.25" hidden="1">
      <c r="A90" s="28">
        <v>5</v>
      </c>
      <c r="B90" s="29" t="s">
        <v>231</v>
      </c>
      <c r="C90" s="29" t="s">
        <v>240</v>
      </c>
      <c r="D90" s="29" t="s">
        <v>83</v>
      </c>
      <c r="E90" s="116" t="s">
        <v>241</v>
      </c>
      <c r="F90" s="42">
        <v>1</v>
      </c>
      <c r="G90" s="42"/>
      <c r="H90" s="93" t="s">
        <v>150</v>
      </c>
      <c r="I90" s="93" t="s">
        <v>150</v>
      </c>
      <c r="J90" s="44">
        <v>4902</v>
      </c>
      <c r="K90" s="322"/>
      <c r="L90" s="33">
        <f>J90+K90</f>
        <v>4902</v>
      </c>
      <c r="M90" s="33"/>
      <c r="N90" s="44">
        <f>J90*35/100</f>
        <v>1715.7</v>
      </c>
      <c r="O90" s="321"/>
      <c r="P90" s="44">
        <f t="shared" si="55"/>
        <v>1715.7</v>
      </c>
      <c r="Q90" s="44">
        <v>600</v>
      </c>
      <c r="R90" s="321"/>
      <c r="S90" s="44"/>
      <c r="T90" s="33">
        <f t="shared" si="48"/>
        <v>600</v>
      </c>
      <c r="U90" s="33">
        <f t="shared" si="49"/>
        <v>4302</v>
      </c>
      <c r="V90" s="33">
        <f t="shared" si="50"/>
        <v>0</v>
      </c>
      <c r="W90" s="33">
        <f t="shared" si="51"/>
        <v>4302</v>
      </c>
      <c r="X90" s="33">
        <f t="shared" si="52"/>
        <v>1115.7</v>
      </c>
      <c r="Y90" s="33">
        <f t="shared" si="53"/>
        <v>0</v>
      </c>
      <c r="Z90" s="33">
        <f t="shared" si="54"/>
        <v>1115.7</v>
      </c>
      <c r="AA90" s="33"/>
      <c r="AB90" s="33">
        <v>500</v>
      </c>
      <c r="AC90" s="34">
        <f t="shared" si="36"/>
        <v>500</v>
      </c>
      <c r="AD90" s="317"/>
      <c r="AE90" s="34">
        <f t="shared" si="37"/>
        <v>500</v>
      </c>
      <c r="AF90" s="34"/>
      <c r="AG90" s="90" t="s">
        <v>37</v>
      </c>
      <c r="AH90" s="95"/>
    </row>
    <row r="91" spans="1:34" ht="23.25" hidden="1">
      <c r="A91" s="28">
        <v>6</v>
      </c>
      <c r="B91" s="29" t="s">
        <v>231</v>
      </c>
      <c r="C91" s="29" t="s">
        <v>242</v>
      </c>
      <c r="D91" s="29" t="s">
        <v>83</v>
      </c>
      <c r="E91" s="116" t="s">
        <v>243</v>
      </c>
      <c r="F91" s="42">
        <v>1</v>
      </c>
      <c r="G91" s="42"/>
      <c r="H91" s="93" t="s">
        <v>150</v>
      </c>
      <c r="I91" s="93" t="s">
        <v>150</v>
      </c>
      <c r="J91" s="44">
        <v>4984</v>
      </c>
      <c r="K91" s="322"/>
      <c r="L91" s="33">
        <f>J91+K91</f>
        <v>4984</v>
      </c>
      <c r="M91" s="33"/>
      <c r="N91" s="44">
        <v>1621.76</v>
      </c>
      <c r="O91" s="321"/>
      <c r="P91" s="44">
        <f t="shared" si="55"/>
        <v>1621.76</v>
      </c>
      <c r="Q91" s="44">
        <v>300</v>
      </c>
      <c r="R91" s="321"/>
      <c r="S91" s="44"/>
      <c r="T91" s="33">
        <f t="shared" si="48"/>
        <v>300</v>
      </c>
      <c r="U91" s="33">
        <f t="shared" si="49"/>
        <v>4684</v>
      </c>
      <c r="V91" s="33">
        <f t="shared" si="50"/>
        <v>0</v>
      </c>
      <c r="W91" s="33">
        <f t="shared" si="51"/>
        <v>4684</v>
      </c>
      <c r="X91" s="33">
        <f t="shared" si="52"/>
        <v>1321.76</v>
      </c>
      <c r="Y91" s="33">
        <f t="shared" si="53"/>
        <v>0</v>
      </c>
      <c r="Z91" s="33">
        <f t="shared" si="54"/>
        <v>1321.76</v>
      </c>
      <c r="AA91" s="33">
        <v>300</v>
      </c>
      <c r="AB91" s="33">
        <v>259.47000000000003</v>
      </c>
      <c r="AC91" s="34">
        <f t="shared" si="36"/>
        <v>559.47</v>
      </c>
      <c r="AD91" s="317"/>
      <c r="AE91" s="34">
        <f t="shared" si="37"/>
        <v>559.47</v>
      </c>
      <c r="AF91" s="34"/>
      <c r="AG91" s="90" t="s">
        <v>37</v>
      </c>
      <c r="AH91" s="95"/>
    </row>
    <row r="92" spans="1:34" ht="23.25" hidden="1">
      <c r="A92" s="28">
        <v>1</v>
      </c>
      <c r="B92" s="29" t="s">
        <v>244</v>
      </c>
      <c r="C92" s="29" t="s">
        <v>245</v>
      </c>
      <c r="D92" s="29" t="s">
        <v>246</v>
      </c>
      <c r="E92" s="75" t="s">
        <v>247</v>
      </c>
      <c r="F92" s="42">
        <v>1</v>
      </c>
      <c r="G92" s="42"/>
      <c r="H92" s="43" t="s">
        <v>79</v>
      </c>
      <c r="I92" s="43" t="s">
        <v>79</v>
      </c>
      <c r="J92" s="44">
        <v>4500</v>
      </c>
      <c r="K92" s="324"/>
      <c r="L92" s="33">
        <f>SUM(J92:K92)</f>
        <v>4500</v>
      </c>
      <c r="M92" s="33"/>
      <c r="N92" s="44">
        <v>4313.46</v>
      </c>
      <c r="O92" s="324"/>
      <c r="P92" s="33">
        <f t="shared" si="55"/>
        <v>4313.46</v>
      </c>
      <c r="Q92" s="33">
        <f>1100+500</f>
        <v>1600</v>
      </c>
      <c r="R92" s="317"/>
      <c r="S92" s="33"/>
      <c r="T92" s="33">
        <f t="shared" ref="T92:T100" si="56">SUM(Q92:S92)</f>
        <v>1600</v>
      </c>
      <c r="U92" s="33">
        <f>J92-Q92-S92</f>
        <v>2900</v>
      </c>
      <c r="V92" s="33">
        <f>K92-R92</f>
        <v>0</v>
      </c>
      <c r="W92" s="33">
        <f t="shared" ref="W92:W100" si="57">SUM(U92:V92)</f>
        <v>2900</v>
      </c>
      <c r="X92" s="33">
        <f>N92-Q92-S92</f>
        <v>2713.46</v>
      </c>
      <c r="Y92" s="33">
        <f>O92-R92</f>
        <v>0</v>
      </c>
      <c r="Z92" s="33">
        <f t="shared" ref="Z92:Z100" si="58">SUM(X92:Y92)</f>
        <v>2713.46</v>
      </c>
      <c r="AA92" s="33"/>
      <c r="AB92" s="33">
        <v>400</v>
      </c>
      <c r="AC92" s="34">
        <f t="shared" si="36"/>
        <v>400</v>
      </c>
      <c r="AD92" s="317"/>
      <c r="AE92" s="34">
        <f t="shared" si="37"/>
        <v>400</v>
      </c>
      <c r="AF92" s="34"/>
      <c r="AG92" s="83"/>
      <c r="AH92" s="81"/>
    </row>
    <row r="93" spans="1:34" ht="23.25" hidden="1">
      <c r="A93" s="28">
        <v>2</v>
      </c>
      <c r="B93" s="29" t="s">
        <v>244</v>
      </c>
      <c r="C93" s="29" t="s">
        <v>248</v>
      </c>
      <c r="D93" s="29" t="s">
        <v>246</v>
      </c>
      <c r="E93" s="75" t="s">
        <v>249</v>
      </c>
      <c r="F93" s="42">
        <v>1</v>
      </c>
      <c r="G93" s="42"/>
      <c r="H93" s="43" t="s">
        <v>79</v>
      </c>
      <c r="I93" s="43" t="s">
        <v>79</v>
      </c>
      <c r="J93" s="44">
        <v>3500</v>
      </c>
      <c r="K93" s="324"/>
      <c r="L93" s="33">
        <f>SUM(J93:K93)</f>
        <v>3500</v>
      </c>
      <c r="M93" s="33"/>
      <c r="N93" s="44">
        <v>3148.84</v>
      </c>
      <c r="O93" s="324"/>
      <c r="P93" s="33">
        <f t="shared" si="55"/>
        <v>3148.84</v>
      </c>
      <c r="Q93" s="33">
        <f>1100+500</f>
        <v>1600</v>
      </c>
      <c r="R93" s="317"/>
      <c r="S93" s="33"/>
      <c r="T93" s="33">
        <f t="shared" si="56"/>
        <v>1600</v>
      </c>
      <c r="U93" s="33">
        <f>J93-Q93-S93</f>
        <v>1900</v>
      </c>
      <c r="V93" s="33">
        <f>K93-R93</f>
        <v>0</v>
      </c>
      <c r="W93" s="33">
        <f t="shared" si="57"/>
        <v>1900</v>
      </c>
      <c r="X93" s="33">
        <f>N93-Q93-S93</f>
        <v>1548.8400000000001</v>
      </c>
      <c r="Y93" s="33">
        <f>O93-R93</f>
        <v>0</v>
      </c>
      <c r="Z93" s="33">
        <f t="shared" si="58"/>
        <v>1548.8400000000001</v>
      </c>
      <c r="AA93" s="33"/>
      <c r="AB93" s="33">
        <v>400</v>
      </c>
      <c r="AC93" s="34">
        <f t="shared" si="36"/>
        <v>400</v>
      </c>
      <c r="AD93" s="317"/>
      <c r="AE93" s="34">
        <f t="shared" si="37"/>
        <v>400</v>
      </c>
      <c r="AF93" s="34"/>
      <c r="AG93" s="88"/>
      <c r="AH93" s="46"/>
    </row>
    <row r="94" spans="1:34" ht="23.25" hidden="1">
      <c r="A94" s="28">
        <v>3</v>
      </c>
      <c r="B94" s="29" t="s">
        <v>250</v>
      </c>
      <c r="C94" s="29" t="s">
        <v>251</v>
      </c>
      <c r="D94" s="29" t="s">
        <v>83</v>
      </c>
      <c r="E94" s="75" t="s">
        <v>252</v>
      </c>
      <c r="F94" s="42">
        <v>1</v>
      </c>
      <c r="G94" s="42"/>
      <c r="H94" s="43" t="s">
        <v>131</v>
      </c>
      <c r="I94" s="43" t="s">
        <v>131</v>
      </c>
      <c r="J94" s="89">
        <v>13689</v>
      </c>
      <c r="K94" s="321"/>
      <c r="L94" s="33">
        <f>SUM(J94:K94)</f>
        <v>13689</v>
      </c>
      <c r="M94" s="33"/>
      <c r="N94" s="44">
        <v>4237.91</v>
      </c>
      <c r="O94" s="324"/>
      <c r="P94" s="33">
        <f>N94+O94</f>
        <v>4237.91</v>
      </c>
      <c r="Q94" s="33">
        <f>200+1000</f>
        <v>1200</v>
      </c>
      <c r="R94" s="317"/>
      <c r="S94" s="33"/>
      <c r="T94" s="33">
        <f t="shared" si="56"/>
        <v>1200</v>
      </c>
      <c r="U94" s="33">
        <f>J94-Q94-S94</f>
        <v>12489</v>
      </c>
      <c r="V94" s="33">
        <f>K94-R94</f>
        <v>0</v>
      </c>
      <c r="W94" s="33">
        <f t="shared" si="57"/>
        <v>12489</v>
      </c>
      <c r="X94" s="33">
        <f>N94-Q94-S94</f>
        <v>3037.91</v>
      </c>
      <c r="Y94" s="33">
        <f>O94-R94</f>
        <v>0</v>
      </c>
      <c r="Z94" s="33">
        <f t="shared" si="58"/>
        <v>3037.91</v>
      </c>
      <c r="AA94" s="33"/>
      <c r="AB94" s="33">
        <v>1000</v>
      </c>
      <c r="AC94" s="34">
        <f t="shared" si="36"/>
        <v>1000</v>
      </c>
      <c r="AD94" s="317"/>
      <c r="AE94" s="34">
        <f t="shared" si="37"/>
        <v>1000</v>
      </c>
      <c r="AF94" s="34"/>
      <c r="AG94" s="88"/>
      <c r="AH94" s="46"/>
    </row>
    <row r="95" spans="1:34" ht="23.25" hidden="1">
      <c r="A95" s="28">
        <v>1</v>
      </c>
      <c r="B95" s="29" t="s">
        <v>244</v>
      </c>
      <c r="C95" s="29" t="s">
        <v>253</v>
      </c>
      <c r="D95" s="29" t="s">
        <v>254</v>
      </c>
      <c r="E95" s="75" t="s">
        <v>255</v>
      </c>
      <c r="F95" s="42">
        <v>1</v>
      </c>
      <c r="G95" s="42"/>
      <c r="H95" s="43" t="s">
        <v>256</v>
      </c>
      <c r="I95" s="43" t="s">
        <v>256</v>
      </c>
      <c r="J95" s="44">
        <v>800</v>
      </c>
      <c r="K95" s="321"/>
      <c r="L95" s="33">
        <f t="shared" ref="L95:L100" si="59">SUM(J95:K95)</f>
        <v>800</v>
      </c>
      <c r="M95" s="33"/>
      <c r="N95" s="44">
        <v>670</v>
      </c>
      <c r="O95" s="321"/>
      <c r="P95" s="33">
        <f t="shared" ref="P95:P100" si="60">SUM(N95:O95)</f>
        <v>670</v>
      </c>
      <c r="Q95" s="33">
        <f>570+100</f>
        <v>670</v>
      </c>
      <c r="R95" s="317"/>
      <c r="S95" s="33"/>
      <c r="T95" s="33">
        <f t="shared" si="56"/>
        <v>670</v>
      </c>
      <c r="U95" s="33">
        <f>J95-Q95-S95</f>
        <v>130</v>
      </c>
      <c r="V95" s="33">
        <f>K95-R95</f>
        <v>0</v>
      </c>
      <c r="W95" s="33">
        <f t="shared" si="57"/>
        <v>130</v>
      </c>
      <c r="X95" s="33">
        <f>N95-Q95-S95</f>
        <v>0</v>
      </c>
      <c r="Y95" s="33">
        <f>O95-R95</f>
        <v>0</v>
      </c>
      <c r="Z95" s="33">
        <f t="shared" si="58"/>
        <v>0</v>
      </c>
      <c r="AA95" s="33">
        <v>100</v>
      </c>
      <c r="AB95" s="33">
        <v>150</v>
      </c>
      <c r="AC95" s="34">
        <f t="shared" ref="AC95:AC143" si="61">AA95+AB95</f>
        <v>250</v>
      </c>
      <c r="AD95" s="317"/>
      <c r="AE95" s="34">
        <f t="shared" ref="AE95:AE143" si="62">AC95+AD95</f>
        <v>250</v>
      </c>
      <c r="AF95" s="34"/>
      <c r="AG95" s="83"/>
      <c r="AH95" s="81"/>
    </row>
    <row r="96" spans="1:34" ht="23.25" hidden="1">
      <c r="A96" s="28">
        <v>2</v>
      </c>
      <c r="B96" s="29" t="s">
        <v>244</v>
      </c>
      <c r="C96" s="29" t="s">
        <v>257</v>
      </c>
      <c r="D96" s="29" t="s">
        <v>258</v>
      </c>
      <c r="E96" s="75" t="s">
        <v>259</v>
      </c>
      <c r="F96" s="42">
        <v>1</v>
      </c>
      <c r="G96" s="42"/>
      <c r="H96" s="43" t="s">
        <v>256</v>
      </c>
      <c r="I96" s="43" t="s">
        <v>256</v>
      </c>
      <c r="J96" s="44">
        <v>750</v>
      </c>
      <c r="K96" s="321"/>
      <c r="L96" s="33">
        <f t="shared" si="59"/>
        <v>750</v>
      </c>
      <c r="M96" s="33"/>
      <c r="N96" s="44">
        <v>600</v>
      </c>
      <c r="O96" s="321"/>
      <c r="P96" s="33">
        <f t="shared" si="60"/>
        <v>600</v>
      </c>
      <c r="Q96" s="33">
        <f>500+100</f>
        <v>600</v>
      </c>
      <c r="R96" s="317"/>
      <c r="S96" s="33"/>
      <c r="T96" s="33">
        <f t="shared" si="56"/>
        <v>600</v>
      </c>
      <c r="U96" s="33">
        <f>J96-Q96-S96</f>
        <v>150</v>
      </c>
      <c r="V96" s="33">
        <f>K96-R96</f>
        <v>0</v>
      </c>
      <c r="W96" s="33">
        <f t="shared" si="57"/>
        <v>150</v>
      </c>
      <c r="X96" s="33">
        <f>N96-Q96-S96</f>
        <v>0</v>
      </c>
      <c r="Y96" s="33">
        <f>O96-R96</f>
        <v>0</v>
      </c>
      <c r="Z96" s="33">
        <f t="shared" si="58"/>
        <v>0</v>
      </c>
      <c r="AA96" s="33">
        <v>100</v>
      </c>
      <c r="AB96" s="33">
        <v>150</v>
      </c>
      <c r="AC96" s="34">
        <f t="shared" si="61"/>
        <v>250</v>
      </c>
      <c r="AD96" s="317"/>
      <c r="AE96" s="34">
        <f t="shared" si="62"/>
        <v>250</v>
      </c>
      <c r="AF96" s="34"/>
      <c r="AG96" s="88"/>
      <c r="AH96" s="46"/>
    </row>
    <row r="97" spans="1:34" ht="46.5" hidden="1">
      <c r="A97" s="28">
        <v>3</v>
      </c>
      <c r="B97" s="128" t="s">
        <v>250</v>
      </c>
      <c r="C97" s="128" t="s">
        <v>260</v>
      </c>
      <c r="D97" s="128" t="s">
        <v>261</v>
      </c>
      <c r="E97" s="30" t="s">
        <v>262</v>
      </c>
      <c r="F97" s="42">
        <v>1</v>
      </c>
      <c r="G97" s="42"/>
      <c r="H97" s="43" t="s">
        <v>263</v>
      </c>
      <c r="I97" s="43" t="s">
        <v>263</v>
      </c>
      <c r="J97" s="44">
        <v>400</v>
      </c>
      <c r="K97" s="321"/>
      <c r="L97" s="33">
        <f t="shared" si="59"/>
        <v>400</v>
      </c>
      <c r="M97" s="33"/>
      <c r="N97" s="44">
        <v>400</v>
      </c>
      <c r="O97" s="321"/>
      <c r="P97" s="33">
        <f t="shared" si="60"/>
        <v>400</v>
      </c>
      <c r="Q97" s="33">
        <v>300</v>
      </c>
      <c r="R97" s="317"/>
      <c r="S97" s="33"/>
      <c r="T97" s="33">
        <f t="shared" si="56"/>
        <v>300</v>
      </c>
      <c r="U97" s="33"/>
      <c r="V97" s="33"/>
      <c r="W97" s="33"/>
      <c r="X97" s="33"/>
      <c r="Y97" s="33"/>
      <c r="Z97" s="33"/>
      <c r="AA97" s="33">
        <v>100</v>
      </c>
      <c r="AB97" s="33"/>
      <c r="AC97" s="34">
        <f t="shared" si="61"/>
        <v>100</v>
      </c>
      <c r="AD97" s="317"/>
      <c r="AE97" s="34">
        <f t="shared" si="62"/>
        <v>100</v>
      </c>
      <c r="AF97" s="34"/>
      <c r="AG97" s="88"/>
      <c r="AH97" s="46"/>
    </row>
    <row r="98" spans="1:34" ht="46.5" hidden="1">
      <c r="A98" s="28">
        <v>4</v>
      </c>
      <c r="B98" s="128" t="s">
        <v>264</v>
      </c>
      <c r="C98" s="128" t="s">
        <v>265</v>
      </c>
      <c r="D98" s="128" t="s">
        <v>40</v>
      </c>
      <c r="E98" s="30" t="s">
        <v>266</v>
      </c>
      <c r="F98" s="42">
        <v>1</v>
      </c>
      <c r="G98" s="42"/>
      <c r="H98" s="43" t="s">
        <v>267</v>
      </c>
      <c r="I98" s="43" t="s">
        <v>267</v>
      </c>
      <c r="J98" s="44">
        <v>500</v>
      </c>
      <c r="K98" s="321"/>
      <c r="L98" s="33">
        <f t="shared" si="59"/>
        <v>500</v>
      </c>
      <c r="M98" s="33"/>
      <c r="N98" s="44">
        <v>500</v>
      </c>
      <c r="O98" s="321"/>
      <c r="P98" s="33">
        <f t="shared" si="60"/>
        <v>500</v>
      </c>
      <c r="Q98" s="33">
        <v>400</v>
      </c>
      <c r="R98" s="317"/>
      <c r="S98" s="33"/>
      <c r="T98" s="33">
        <f t="shared" si="56"/>
        <v>400</v>
      </c>
      <c r="U98" s="33"/>
      <c r="V98" s="33"/>
      <c r="W98" s="33"/>
      <c r="X98" s="33"/>
      <c r="Y98" s="33"/>
      <c r="Z98" s="33"/>
      <c r="AA98" s="33">
        <v>100</v>
      </c>
      <c r="AB98" s="33"/>
      <c r="AC98" s="34">
        <f t="shared" si="61"/>
        <v>100</v>
      </c>
      <c r="AD98" s="317"/>
      <c r="AE98" s="34">
        <f t="shared" si="62"/>
        <v>100</v>
      </c>
      <c r="AF98" s="34"/>
      <c r="AG98" s="88"/>
      <c r="AH98" s="46"/>
    </row>
    <row r="99" spans="1:34" ht="23.25" hidden="1">
      <c r="A99" s="28">
        <v>5</v>
      </c>
      <c r="B99" s="29" t="s">
        <v>244</v>
      </c>
      <c r="C99" s="29" t="s">
        <v>268</v>
      </c>
      <c r="D99" s="29" t="s">
        <v>254</v>
      </c>
      <c r="E99" s="75" t="s">
        <v>269</v>
      </c>
      <c r="F99" s="42">
        <v>1</v>
      </c>
      <c r="G99" s="42"/>
      <c r="H99" s="43" t="s">
        <v>270</v>
      </c>
      <c r="I99" s="43" t="s">
        <v>270</v>
      </c>
      <c r="J99" s="44">
        <v>2000</v>
      </c>
      <c r="K99" s="321"/>
      <c r="L99" s="33">
        <f t="shared" si="59"/>
        <v>2000</v>
      </c>
      <c r="M99" s="33"/>
      <c r="N99" s="44">
        <v>550</v>
      </c>
      <c r="O99" s="321"/>
      <c r="P99" s="33">
        <f t="shared" si="60"/>
        <v>550</v>
      </c>
      <c r="Q99" s="33">
        <f>450+100</f>
        <v>550</v>
      </c>
      <c r="R99" s="317"/>
      <c r="S99" s="33"/>
      <c r="T99" s="33">
        <f t="shared" si="56"/>
        <v>550</v>
      </c>
      <c r="U99" s="33">
        <f t="shared" ref="U99:U104" si="63">J99-Q99-S99</f>
        <v>1450</v>
      </c>
      <c r="V99" s="33">
        <f t="shared" ref="V99:V104" si="64">K99-R99</f>
        <v>0</v>
      </c>
      <c r="W99" s="33">
        <f t="shared" si="57"/>
        <v>1450</v>
      </c>
      <c r="X99" s="33">
        <f t="shared" ref="X99:X104" si="65">N99-Q99-S99</f>
        <v>0</v>
      </c>
      <c r="Y99" s="33">
        <f t="shared" ref="Y99:Y104" si="66">O99-R99</f>
        <v>0</v>
      </c>
      <c r="Z99" s="33">
        <f t="shared" si="58"/>
        <v>0</v>
      </c>
      <c r="AA99" s="33"/>
      <c r="AB99" s="33">
        <v>150</v>
      </c>
      <c r="AC99" s="34">
        <f t="shared" si="61"/>
        <v>150</v>
      </c>
      <c r="AD99" s="317"/>
      <c r="AE99" s="34">
        <f t="shared" si="62"/>
        <v>150</v>
      </c>
      <c r="AF99" s="34"/>
      <c r="AG99" s="88"/>
      <c r="AH99" s="46"/>
    </row>
    <row r="100" spans="1:34" ht="23.25" hidden="1">
      <c r="A100" s="28">
        <v>6</v>
      </c>
      <c r="B100" s="29" t="s">
        <v>244</v>
      </c>
      <c r="C100" s="29" t="s">
        <v>271</v>
      </c>
      <c r="D100" s="29" t="s">
        <v>254</v>
      </c>
      <c r="E100" s="75" t="s">
        <v>272</v>
      </c>
      <c r="F100" s="42">
        <v>1</v>
      </c>
      <c r="G100" s="42"/>
      <c r="H100" s="43" t="s">
        <v>270</v>
      </c>
      <c r="I100" s="43" t="s">
        <v>270</v>
      </c>
      <c r="J100" s="44">
        <v>2300</v>
      </c>
      <c r="K100" s="321"/>
      <c r="L100" s="33">
        <f t="shared" si="59"/>
        <v>2300</v>
      </c>
      <c r="M100" s="33"/>
      <c r="N100" s="44">
        <v>1502.31</v>
      </c>
      <c r="O100" s="321"/>
      <c r="P100" s="33">
        <f t="shared" si="60"/>
        <v>1502.31</v>
      </c>
      <c r="Q100" s="33">
        <f>1005.28+200</f>
        <v>1205.28</v>
      </c>
      <c r="R100" s="317"/>
      <c r="S100" s="33"/>
      <c r="T100" s="33">
        <f t="shared" si="56"/>
        <v>1205.28</v>
      </c>
      <c r="U100" s="33">
        <f t="shared" si="63"/>
        <v>1094.72</v>
      </c>
      <c r="V100" s="33">
        <f t="shared" si="64"/>
        <v>0</v>
      </c>
      <c r="W100" s="33">
        <f t="shared" si="57"/>
        <v>1094.72</v>
      </c>
      <c r="X100" s="33">
        <f t="shared" si="65"/>
        <v>297.02999999999997</v>
      </c>
      <c r="Y100" s="33">
        <f t="shared" si="66"/>
        <v>0</v>
      </c>
      <c r="Z100" s="33">
        <f t="shared" si="58"/>
        <v>297.02999999999997</v>
      </c>
      <c r="AA100" s="33"/>
      <c r="AB100" s="33">
        <v>350</v>
      </c>
      <c r="AC100" s="34">
        <f t="shared" si="61"/>
        <v>350</v>
      </c>
      <c r="AD100" s="317"/>
      <c r="AE100" s="34">
        <f t="shared" si="62"/>
        <v>350</v>
      </c>
      <c r="AF100" s="34"/>
      <c r="AG100" s="88"/>
      <c r="AH100" s="46"/>
    </row>
    <row r="101" spans="1:34" ht="23.25" hidden="1">
      <c r="A101" s="28">
        <v>1</v>
      </c>
      <c r="B101" s="29" t="s">
        <v>274</v>
      </c>
      <c r="C101" s="29" t="s">
        <v>275</v>
      </c>
      <c r="D101" s="29" t="s">
        <v>83</v>
      </c>
      <c r="E101" s="30" t="s">
        <v>276</v>
      </c>
      <c r="F101" s="42">
        <v>1</v>
      </c>
      <c r="G101" s="42"/>
      <c r="H101" s="43" t="s">
        <v>49</v>
      </c>
      <c r="I101" s="43" t="s">
        <v>49</v>
      </c>
      <c r="J101" s="78">
        <v>4980</v>
      </c>
      <c r="K101" s="324"/>
      <c r="L101" s="33">
        <f>SUM(J101:K101)</f>
        <v>4980</v>
      </c>
      <c r="M101" s="33"/>
      <c r="N101" s="78">
        <v>3984</v>
      </c>
      <c r="O101" s="324"/>
      <c r="P101" s="33">
        <f>N101+O101</f>
        <v>3984</v>
      </c>
      <c r="Q101" s="33">
        <f>335+600</f>
        <v>935</v>
      </c>
      <c r="R101" s="317"/>
      <c r="S101" s="33"/>
      <c r="T101" s="33">
        <f t="shared" ref="T101:T104" si="67">SUM(Q101:S101)</f>
        <v>935</v>
      </c>
      <c r="U101" s="33">
        <f t="shared" si="63"/>
        <v>4045</v>
      </c>
      <c r="V101" s="33">
        <f t="shared" si="64"/>
        <v>0</v>
      </c>
      <c r="W101" s="33">
        <f>SUM(U101:V101)</f>
        <v>4045</v>
      </c>
      <c r="X101" s="33">
        <f t="shared" si="65"/>
        <v>3049</v>
      </c>
      <c r="Y101" s="33">
        <f t="shared" si="66"/>
        <v>0</v>
      </c>
      <c r="Z101" s="33">
        <f>SUM(X101:Y101)</f>
        <v>3049</v>
      </c>
      <c r="AA101" s="33"/>
      <c r="AB101" s="33">
        <v>300</v>
      </c>
      <c r="AC101" s="34">
        <f t="shared" si="61"/>
        <v>300</v>
      </c>
      <c r="AD101" s="317"/>
      <c r="AE101" s="34">
        <f t="shared" si="62"/>
        <v>300</v>
      </c>
      <c r="AF101" s="34"/>
      <c r="AG101" s="88"/>
      <c r="AH101" s="46"/>
    </row>
    <row r="102" spans="1:34" ht="46.5" hidden="1">
      <c r="A102" s="28">
        <v>1</v>
      </c>
      <c r="B102" s="29" t="s">
        <v>274</v>
      </c>
      <c r="C102" s="29" t="s">
        <v>277</v>
      </c>
      <c r="D102" s="29" t="s">
        <v>254</v>
      </c>
      <c r="E102" s="30" t="s">
        <v>278</v>
      </c>
      <c r="F102" s="42">
        <v>1</v>
      </c>
      <c r="G102" s="42"/>
      <c r="H102" s="43" t="s">
        <v>42</v>
      </c>
      <c r="I102" s="43" t="s">
        <v>42</v>
      </c>
      <c r="J102" s="44">
        <v>2244</v>
      </c>
      <c r="K102" s="321"/>
      <c r="L102" s="33">
        <f t="shared" ref="L102:L104" si="68">SUM(J102:K102)</f>
        <v>2244</v>
      </c>
      <c r="M102" s="33"/>
      <c r="N102" s="44">
        <v>900</v>
      </c>
      <c r="O102" s="321"/>
      <c r="P102" s="33">
        <f t="shared" ref="P102:P104" si="69">SUM(N102:O102)</f>
        <v>900</v>
      </c>
      <c r="Q102" s="33">
        <f>800+100</f>
        <v>900</v>
      </c>
      <c r="R102" s="317"/>
      <c r="S102" s="33"/>
      <c r="T102" s="33">
        <f t="shared" si="67"/>
        <v>900</v>
      </c>
      <c r="U102" s="33">
        <f t="shared" si="63"/>
        <v>1344</v>
      </c>
      <c r="V102" s="33">
        <f t="shared" si="64"/>
        <v>0</v>
      </c>
      <c r="W102" s="33">
        <f>SUM(U102:V102)</f>
        <v>1344</v>
      </c>
      <c r="X102" s="33">
        <f t="shared" si="65"/>
        <v>0</v>
      </c>
      <c r="Y102" s="33">
        <f t="shared" si="66"/>
        <v>0</v>
      </c>
      <c r="Z102" s="33">
        <f>SUM(X102:Y102)</f>
        <v>0</v>
      </c>
      <c r="AA102" s="33">
        <v>100</v>
      </c>
      <c r="AB102" s="33">
        <v>150</v>
      </c>
      <c r="AC102" s="34">
        <f t="shared" si="61"/>
        <v>250</v>
      </c>
      <c r="AD102" s="317"/>
      <c r="AE102" s="34">
        <f t="shared" si="62"/>
        <v>250</v>
      </c>
      <c r="AF102" s="34"/>
      <c r="AG102" s="88"/>
      <c r="AH102" s="46"/>
    </row>
    <row r="103" spans="1:34" ht="23.25" hidden="1">
      <c r="A103" s="28">
        <v>2</v>
      </c>
      <c r="B103" s="29" t="s">
        <v>274</v>
      </c>
      <c r="C103" s="29" t="s">
        <v>279</v>
      </c>
      <c r="D103" s="29" t="s">
        <v>261</v>
      </c>
      <c r="E103" s="47" t="s">
        <v>280</v>
      </c>
      <c r="F103" s="42">
        <v>1</v>
      </c>
      <c r="G103" s="42"/>
      <c r="H103" s="43" t="s">
        <v>46</v>
      </c>
      <c r="I103" s="43" t="s">
        <v>46</v>
      </c>
      <c r="J103" s="89">
        <v>1000</v>
      </c>
      <c r="K103" s="322"/>
      <c r="L103" s="33">
        <f t="shared" si="68"/>
        <v>1000</v>
      </c>
      <c r="M103" s="33"/>
      <c r="N103" s="89">
        <v>400</v>
      </c>
      <c r="O103" s="322"/>
      <c r="P103" s="33">
        <f t="shared" si="69"/>
        <v>400</v>
      </c>
      <c r="Q103" s="33">
        <f>300+100</f>
        <v>400</v>
      </c>
      <c r="R103" s="317"/>
      <c r="S103" s="33"/>
      <c r="T103" s="33">
        <f t="shared" si="67"/>
        <v>400</v>
      </c>
      <c r="U103" s="33">
        <f t="shared" si="63"/>
        <v>600</v>
      </c>
      <c r="V103" s="33">
        <f t="shared" si="64"/>
        <v>0</v>
      </c>
      <c r="W103" s="33">
        <f>SUM(U103:V103)</f>
        <v>600</v>
      </c>
      <c r="X103" s="33">
        <f t="shared" si="65"/>
        <v>0</v>
      </c>
      <c r="Y103" s="33">
        <f t="shared" si="66"/>
        <v>0</v>
      </c>
      <c r="Z103" s="33">
        <f>SUM(X103:Y103)</f>
        <v>0</v>
      </c>
      <c r="AA103" s="33">
        <v>100</v>
      </c>
      <c r="AB103" s="33">
        <v>154.35</v>
      </c>
      <c r="AC103" s="34">
        <f t="shared" si="61"/>
        <v>254.35</v>
      </c>
      <c r="AD103" s="317"/>
      <c r="AE103" s="34">
        <f t="shared" si="62"/>
        <v>254.35</v>
      </c>
      <c r="AF103" s="34"/>
      <c r="AG103" s="88"/>
      <c r="AH103" s="46"/>
    </row>
    <row r="104" spans="1:34" ht="23.25" hidden="1">
      <c r="A104" s="28">
        <v>3</v>
      </c>
      <c r="B104" s="29" t="s">
        <v>274</v>
      </c>
      <c r="C104" s="29" t="s">
        <v>281</v>
      </c>
      <c r="D104" s="29" t="s">
        <v>261</v>
      </c>
      <c r="E104" s="47" t="s">
        <v>282</v>
      </c>
      <c r="F104" s="42">
        <v>1</v>
      </c>
      <c r="G104" s="42"/>
      <c r="H104" s="43" t="s">
        <v>78</v>
      </c>
      <c r="I104" s="43" t="s">
        <v>78</v>
      </c>
      <c r="J104" s="89">
        <v>5000</v>
      </c>
      <c r="K104" s="322"/>
      <c r="L104" s="33">
        <f t="shared" si="68"/>
        <v>5000</v>
      </c>
      <c r="M104" s="33"/>
      <c r="N104" s="89">
        <v>1794.84</v>
      </c>
      <c r="O104" s="322"/>
      <c r="P104" s="33">
        <f t="shared" si="69"/>
        <v>1794.84</v>
      </c>
      <c r="Q104" s="33">
        <f>342.28+100</f>
        <v>442.28</v>
      </c>
      <c r="R104" s="317"/>
      <c r="S104" s="33"/>
      <c r="T104" s="33">
        <f t="shared" si="67"/>
        <v>442.28</v>
      </c>
      <c r="U104" s="33">
        <f t="shared" si="63"/>
        <v>4557.72</v>
      </c>
      <c r="V104" s="33">
        <f t="shared" si="64"/>
        <v>0</v>
      </c>
      <c r="W104" s="33">
        <f>SUM(U104:V104)</f>
        <v>4557.72</v>
      </c>
      <c r="X104" s="33">
        <f t="shared" si="65"/>
        <v>1352.56</v>
      </c>
      <c r="Y104" s="33">
        <f t="shared" si="66"/>
        <v>0</v>
      </c>
      <c r="Z104" s="33">
        <f>SUM(X104:Y104)</f>
        <v>1352.56</v>
      </c>
      <c r="AA104" s="33"/>
      <c r="AB104" s="33">
        <v>500</v>
      </c>
      <c r="AC104" s="34">
        <f t="shared" si="61"/>
        <v>500</v>
      </c>
      <c r="AD104" s="317"/>
      <c r="AE104" s="34">
        <f t="shared" si="62"/>
        <v>500</v>
      </c>
      <c r="AF104" s="34"/>
      <c r="AG104" s="88"/>
      <c r="AH104" s="46"/>
    </row>
    <row r="105" spans="1:34" ht="69.75" hidden="1">
      <c r="A105" s="28">
        <v>1</v>
      </c>
      <c r="B105" s="29" t="s">
        <v>283</v>
      </c>
      <c r="C105" s="29" t="s">
        <v>284</v>
      </c>
      <c r="D105" s="29" t="s">
        <v>83</v>
      </c>
      <c r="E105" s="30" t="s">
        <v>285</v>
      </c>
      <c r="F105" s="42">
        <v>1</v>
      </c>
      <c r="G105" s="42"/>
      <c r="H105" s="43" t="s">
        <v>78</v>
      </c>
      <c r="I105" s="43" t="s">
        <v>78</v>
      </c>
      <c r="J105" s="78">
        <f>SUM(J106:J107)</f>
        <v>5000</v>
      </c>
      <c r="K105" s="324">
        <f t="shared" ref="K105:AA105" si="70">SUM(K106:K107)</f>
        <v>0</v>
      </c>
      <c r="L105" s="78">
        <f t="shared" si="70"/>
        <v>5000</v>
      </c>
      <c r="M105" s="78"/>
      <c r="N105" s="78">
        <f t="shared" si="70"/>
        <v>4988</v>
      </c>
      <c r="O105" s="324">
        <f t="shared" si="70"/>
        <v>0</v>
      </c>
      <c r="P105" s="78">
        <f t="shared" si="70"/>
        <v>4988</v>
      </c>
      <c r="Q105" s="78">
        <f t="shared" si="70"/>
        <v>2450</v>
      </c>
      <c r="R105" s="324">
        <f t="shared" si="70"/>
        <v>0</v>
      </c>
      <c r="S105" s="78">
        <f t="shared" si="70"/>
        <v>0</v>
      </c>
      <c r="T105" s="78">
        <f t="shared" si="70"/>
        <v>2450</v>
      </c>
      <c r="U105" s="78">
        <f t="shared" si="70"/>
        <v>2550</v>
      </c>
      <c r="V105" s="78">
        <f t="shared" si="70"/>
        <v>0</v>
      </c>
      <c r="W105" s="78">
        <f t="shared" si="70"/>
        <v>2550</v>
      </c>
      <c r="X105" s="78">
        <f t="shared" si="70"/>
        <v>2538</v>
      </c>
      <c r="Y105" s="78">
        <f t="shared" si="70"/>
        <v>0</v>
      </c>
      <c r="Z105" s="78">
        <f t="shared" si="70"/>
        <v>2538</v>
      </c>
      <c r="AA105" s="78">
        <f t="shared" si="70"/>
        <v>350</v>
      </c>
      <c r="AB105" s="78">
        <f>SUM(AB106:AB107)</f>
        <v>700</v>
      </c>
      <c r="AC105" s="78">
        <f>SUM(AC106:AC107)</f>
        <v>1050</v>
      </c>
      <c r="AD105" s="324">
        <f>SUM(AD106:AD107)</f>
        <v>0</v>
      </c>
      <c r="AE105" s="78">
        <f>SUM(AE106:AE107)</f>
        <v>1050</v>
      </c>
      <c r="AF105" s="78"/>
      <c r="AG105" s="88"/>
      <c r="AH105" s="46"/>
    </row>
    <row r="106" spans="1:34" s="68" customFormat="1" ht="23.25" hidden="1">
      <c r="A106" s="59"/>
      <c r="B106" s="60"/>
      <c r="C106" s="60"/>
      <c r="D106" s="60"/>
      <c r="E106" s="129" t="s">
        <v>286</v>
      </c>
      <c r="F106" s="62"/>
      <c r="G106" s="62"/>
      <c r="H106" s="62"/>
      <c r="I106" s="62"/>
      <c r="J106" s="130">
        <v>2500</v>
      </c>
      <c r="K106" s="329"/>
      <c r="L106" s="63">
        <f t="shared" ref="L106:L114" si="71">SUM(J106:K106)</f>
        <v>2500</v>
      </c>
      <c r="M106" s="63"/>
      <c r="N106" s="130">
        <v>2391.83</v>
      </c>
      <c r="O106" s="329"/>
      <c r="P106" s="63">
        <f t="shared" ref="P106:P112" si="72">SUM(N106:O106)</f>
        <v>2391.83</v>
      </c>
      <c r="Q106" s="63">
        <f>1000+350</f>
        <v>1350</v>
      </c>
      <c r="R106" s="319"/>
      <c r="S106" s="63"/>
      <c r="T106" s="63">
        <f t="shared" ref="T106:T129" si="73">SUM(Q106:S106)</f>
        <v>1350</v>
      </c>
      <c r="U106" s="63">
        <f t="shared" ref="U106:U125" si="74">J106-Q106-S106</f>
        <v>1150</v>
      </c>
      <c r="V106" s="63">
        <f t="shared" ref="V106:V125" si="75">K106-R106</f>
        <v>0</v>
      </c>
      <c r="W106" s="63">
        <f t="shared" ref="W106:W129" si="76">SUM(U106:V106)</f>
        <v>1150</v>
      </c>
      <c r="X106" s="63">
        <f t="shared" ref="X106:X125" si="77">N106-Q106-S106</f>
        <v>1041.83</v>
      </c>
      <c r="Y106" s="63">
        <f t="shared" ref="Y106:Y125" si="78">O106-R106</f>
        <v>0</v>
      </c>
      <c r="Z106" s="63">
        <f t="shared" ref="Z106:Z129" si="79">SUM(X106:Y106)</f>
        <v>1041.83</v>
      </c>
      <c r="AA106" s="63"/>
      <c r="AB106" s="63">
        <v>350</v>
      </c>
      <c r="AC106" s="65">
        <f t="shared" si="61"/>
        <v>350</v>
      </c>
      <c r="AD106" s="319"/>
      <c r="AE106" s="65">
        <f t="shared" si="62"/>
        <v>350</v>
      </c>
      <c r="AF106" s="65"/>
      <c r="AG106" s="131"/>
      <c r="AH106" s="132"/>
    </row>
    <row r="107" spans="1:34" s="68" customFormat="1" ht="23.25" hidden="1">
      <c r="A107" s="59"/>
      <c r="B107" s="60"/>
      <c r="C107" s="60"/>
      <c r="D107" s="60"/>
      <c r="E107" s="129" t="s">
        <v>287</v>
      </c>
      <c r="F107" s="62"/>
      <c r="G107" s="62"/>
      <c r="H107" s="62"/>
      <c r="I107" s="62"/>
      <c r="J107" s="130">
        <v>2500</v>
      </c>
      <c r="K107" s="329"/>
      <c r="L107" s="63">
        <f t="shared" si="71"/>
        <v>2500</v>
      </c>
      <c r="M107" s="63"/>
      <c r="N107" s="130">
        <v>2596.17</v>
      </c>
      <c r="O107" s="329"/>
      <c r="P107" s="63">
        <f t="shared" si="72"/>
        <v>2596.17</v>
      </c>
      <c r="Q107" s="63">
        <f>750+350</f>
        <v>1100</v>
      </c>
      <c r="R107" s="319"/>
      <c r="S107" s="63"/>
      <c r="T107" s="63">
        <f t="shared" si="73"/>
        <v>1100</v>
      </c>
      <c r="U107" s="63">
        <f t="shared" si="74"/>
        <v>1400</v>
      </c>
      <c r="V107" s="63">
        <f t="shared" si="75"/>
        <v>0</v>
      </c>
      <c r="W107" s="63">
        <f t="shared" si="76"/>
        <v>1400</v>
      </c>
      <c r="X107" s="63">
        <f t="shared" si="77"/>
        <v>1496.17</v>
      </c>
      <c r="Y107" s="63">
        <f t="shared" si="78"/>
        <v>0</v>
      </c>
      <c r="Z107" s="63">
        <f t="shared" si="79"/>
        <v>1496.17</v>
      </c>
      <c r="AA107" s="63">
        <v>350</v>
      </c>
      <c r="AB107" s="63">
        <v>350</v>
      </c>
      <c r="AC107" s="65">
        <f t="shared" si="61"/>
        <v>700</v>
      </c>
      <c r="AD107" s="319"/>
      <c r="AE107" s="65">
        <f t="shared" si="62"/>
        <v>700</v>
      </c>
      <c r="AF107" s="65"/>
      <c r="AG107" s="131"/>
      <c r="AH107" s="132"/>
    </row>
    <row r="108" spans="1:34" ht="23.25" hidden="1">
      <c r="A108" s="28">
        <v>2</v>
      </c>
      <c r="B108" s="29" t="s">
        <v>89</v>
      </c>
      <c r="C108" s="29" t="s">
        <v>288</v>
      </c>
      <c r="D108" s="29" t="s">
        <v>289</v>
      </c>
      <c r="E108" s="30" t="s">
        <v>290</v>
      </c>
      <c r="F108" s="42">
        <v>1</v>
      </c>
      <c r="G108" s="42"/>
      <c r="H108" s="43" t="s">
        <v>230</v>
      </c>
      <c r="I108" s="43" t="s">
        <v>230</v>
      </c>
      <c r="J108" s="44">
        <v>13911</v>
      </c>
      <c r="K108" s="317"/>
      <c r="L108" s="33">
        <f t="shared" si="71"/>
        <v>13911</v>
      </c>
      <c r="M108" s="33"/>
      <c r="N108" s="44">
        <v>6436.11</v>
      </c>
      <c r="O108" s="317"/>
      <c r="P108" s="33">
        <f t="shared" si="72"/>
        <v>6436.11</v>
      </c>
      <c r="Q108" s="33">
        <f>1397.68+100</f>
        <v>1497.68</v>
      </c>
      <c r="R108" s="317"/>
      <c r="S108" s="33"/>
      <c r="T108" s="33">
        <f t="shared" si="73"/>
        <v>1497.68</v>
      </c>
      <c r="U108" s="33">
        <f t="shared" si="74"/>
        <v>12413.32</v>
      </c>
      <c r="V108" s="33">
        <f t="shared" si="75"/>
        <v>0</v>
      </c>
      <c r="W108" s="33">
        <f t="shared" si="76"/>
        <v>12413.32</v>
      </c>
      <c r="X108" s="33">
        <f t="shared" si="77"/>
        <v>4938.4299999999994</v>
      </c>
      <c r="Y108" s="33">
        <f t="shared" si="78"/>
        <v>0</v>
      </c>
      <c r="Z108" s="33">
        <f t="shared" si="79"/>
        <v>4938.4299999999994</v>
      </c>
      <c r="AA108" s="33"/>
      <c r="AB108" s="33">
        <v>100</v>
      </c>
      <c r="AC108" s="34">
        <f t="shared" si="61"/>
        <v>100</v>
      </c>
      <c r="AD108" s="317"/>
      <c r="AE108" s="34">
        <f t="shared" si="62"/>
        <v>100</v>
      </c>
      <c r="AF108" s="34"/>
      <c r="AG108" s="88"/>
      <c r="AH108" s="46"/>
    </row>
    <row r="109" spans="1:34" ht="23.25" hidden="1">
      <c r="A109" s="28">
        <v>3</v>
      </c>
      <c r="B109" s="29" t="s">
        <v>89</v>
      </c>
      <c r="C109" s="29" t="s">
        <v>291</v>
      </c>
      <c r="D109" s="29" t="s">
        <v>229</v>
      </c>
      <c r="E109" s="75" t="s">
        <v>292</v>
      </c>
      <c r="F109" s="42">
        <v>1</v>
      </c>
      <c r="G109" s="42"/>
      <c r="H109" s="43" t="s">
        <v>42</v>
      </c>
      <c r="I109" s="43" t="s">
        <v>42</v>
      </c>
      <c r="J109" s="44">
        <v>4995</v>
      </c>
      <c r="K109" s="320"/>
      <c r="L109" s="33">
        <f t="shared" si="71"/>
        <v>4995</v>
      </c>
      <c r="M109" s="33"/>
      <c r="N109" s="44">
        <v>2969.83</v>
      </c>
      <c r="O109" s="320"/>
      <c r="P109" s="33">
        <f t="shared" si="72"/>
        <v>2969.83</v>
      </c>
      <c r="Q109" s="33">
        <f>700+200</f>
        <v>900</v>
      </c>
      <c r="R109" s="317"/>
      <c r="S109" s="33"/>
      <c r="T109" s="33">
        <f t="shared" si="73"/>
        <v>900</v>
      </c>
      <c r="U109" s="33">
        <f t="shared" si="74"/>
        <v>4095</v>
      </c>
      <c r="V109" s="33">
        <f t="shared" si="75"/>
        <v>0</v>
      </c>
      <c r="W109" s="33">
        <f t="shared" si="76"/>
        <v>4095</v>
      </c>
      <c r="X109" s="33">
        <f t="shared" si="77"/>
        <v>2069.83</v>
      </c>
      <c r="Y109" s="33">
        <f t="shared" si="78"/>
        <v>0</v>
      </c>
      <c r="Z109" s="33">
        <f t="shared" si="79"/>
        <v>2069.83</v>
      </c>
      <c r="AA109" s="33"/>
      <c r="AB109" s="33">
        <v>100</v>
      </c>
      <c r="AC109" s="34">
        <f t="shared" si="61"/>
        <v>100</v>
      </c>
      <c r="AD109" s="317"/>
      <c r="AE109" s="34">
        <f t="shared" si="62"/>
        <v>100</v>
      </c>
      <c r="AF109" s="34"/>
      <c r="AG109" s="88"/>
      <c r="AH109" s="46"/>
    </row>
    <row r="110" spans="1:34" ht="23.25" hidden="1">
      <c r="A110" s="28">
        <v>4</v>
      </c>
      <c r="B110" s="29" t="s">
        <v>89</v>
      </c>
      <c r="C110" s="29" t="s">
        <v>293</v>
      </c>
      <c r="D110" s="29" t="s">
        <v>83</v>
      </c>
      <c r="E110" s="75" t="s">
        <v>294</v>
      </c>
      <c r="F110" s="42">
        <v>1</v>
      </c>
      <c r="G110" s="42"/>
      <c r="H110" s="43" t="s">
        <v>42</v>
      </c>
      <c r="I110" s="43" t="s">
        <v>42</v>
      </c>
      <c r="J110" s="44">
        <v>2948</v>
      </c>
      <c r="K110" s="320"/>
      <c r="L110" s="33">
        <f t="shared" si="71"/>
        <v>2948</v>
      </c>
      <c r="M110" s="33"/>
      <c r="N110" s="44">
        <v>2260.64</v>
      </c>
      <c r="O110" s="320"/>
      <c r="P110" s="33">
        <f t="shared" si="72"/>
        <v>2260.64</v>
      </c>
      <c r="Q110" s="33">
        <f>1207.98+200</f>
        <v>1407.98</v>
      </c>
      <c r="R110" s="317"/>
      <c r="S110" s="33"/>
      <c r="T110" s="33">
        <f t="shared" si="73"/>
        <v>1407.98</v>
      </c>
      <c r="U110" s="33">
        <f t="shared" si="74"/>
        <v>1540.02</v>
      </c>
      <c r="V110" s="33">
        <f t="shared" si="75"/>
        <v>0</v>
      </c>
      <c r="W110" s="33">
        <f t="shared" si="76"/>
        <v>1540.02</v>
      </c>
      <c r="X110" s="33">
        <f t="shared" si="77"/>
        <v>852.65999999999985</v>
      </c>
      <c r="Y110" s="33">
        <f t="shared" si="78"/>
        <v>0</v>
      </c>
      <c r="Z110" s="33">
        <f t="shared" si="79"/>
        <v>852.65999999999985</v>
      </c>
      <c r="AA110" s="33"/>
      <c r="AB110" s="33">
        <v>100</v>
      </c>
      <c r="AC110" s="34">
        <f t="shared" si="61"/>
        <v>100</v>
      </c>
      <c r="AD110" s="317"/>
      <c r="AE110" s="34">
        <f t="shared" si="62"/>
        <v>100</v>
      </c>
      <c r="AF110" s="34"/>
      <c r="AG110" s="88"/>
      <c r="AH110" s="46"/>
    </row>
    <row r="111" spans="1:34" ht="23.25" hidden="1">
      <c r="A111" s="28">
        <v>5</v>
      </c>
      <c r="B111" s="29" t="s">
        <v>89</v>
      </c>
      <c r="C111" s="29" t="s">
        <v>295</v>
      </c>
      <c r="D111" s="29" t="s">
        <v>83</v>
      </c>
      <c r="E111" s="75" t="s">
        <v>296</v>
      </c>
      <c r="F111" s="42">
        <v>1</v>
      </c>
      <c r="G111" s="42"/>
      <c r="H111" s="43" t="s">
        <v>46</v>
      </c>
      <c r="I111" s="43" t="s">
        <v>46</v>
      </c>
      <c r="J111" s="89">
        <v>4200</v>
      </c>
      <c r="K111" s="320"/>
      <c r="L111" s="33">
        <f t="shared" si="71"/>
        <v>4200</v>
      </c>
      <c r="M111" s="33"/>
      <c r="N111" s="78">
        <v>2730</v>
      </c>
      <c r="O111" s="320"/>
      <c r="P111" s="33">
        <f t="shared" si="72"/>
        <v>2730</v>
      </c>
      <c r="Q111" s="33">
        <f>800+500</f>
        <v>1300</v>
      </c>
      <c r="R111" s="317"/>
      <c r="S111" s="33"/>
      <c r="T111" s="33">
        <f t="shared" si="73"/>
        <v>1300</v>
      </c>
      <c r="U111" s="33">
        <f t="shared" si="74"/>
        <v>2900</v>
      </c>
      <c r="V111" s="33">
        <f t="shared" si="75"/>
        <v>0</v>
      </c>
      <c r="W111" s="33">
        <f t="shared" si="76"/>
        <v>2900</v>
      </c>
      <c r="X111" s="33">
        <f t="shared" si="77"/>
        <v>1430</v>
      </c>
      <c r="Y111" s="33">
        <f t="shared" si="78"/>
        <v>0</v>
      </c>
      <c r="Z111" s="33">
        <f t="shared" si="79"/>
        <v>1430</v>
      </c>
      <c r="AA111" s="33"/>
      <c r="AB111" s="33">
        <v>100</v>
      </c>
      <c r="AC111" s="34">
        <f t="shared" si="61"/>
        <v>100</v>
      </c>
      <c r="AD111" s="317"/>
      <c r="AE111" s="34">
        <f t="shared" si="62"/>
        <v>100</v>
      </c>
      <c r="AF111" s="34"/>
      <c r="AG111" s="88"/>
      <c r="AH111" s="46"/>
    </row>
    <row r="112" spans="1:34" ht="23.25" hidden="1">
      <c r="A112" s="28">
        <v>6</v>
      </c>
      <c r="B112" s="29" t="s">
        <v>89</v>
      </c>
      <c r="C112" s="29" t="s">
        <v>297</v>
      </c>
      <c r="D112" s="29" t="s">
        <v>229</v>
      </c>
      <c r="E112" s="75" t="s">
        <v>298</v>
      </c>
      <c r="F112" s="42">
        <v>1</v>
      </c>
      <c r="G112" s="42"/>
      <c r="H112" s="43" t="s">
        <v>46</v>
      </c>
      <c r="I112" s="43" t="s">
        <v>46</v>
      </c>
      <c r="J112" s="89">
        <v>3000</v>
      </c>
      <c r="K112" s="320"/>
      <c r="L112" s="33">
        <f t="shared" si="71"/>
        <v>3000</v>
      </c>
      <c r="M112" s="33"/>
      <c r="N112" s="89">
        <v>981.55</v>
      </c>
      <c r="O112" s="320"/>
      <c r="P112" s="33">
        <f t="shared" si="72"/>
        <v>981.55</v>
      </c>
      <c r="Q112" s="33">
        <f>350+200</f>
        <v>550</v>
      </c>
      <c r="R112" s="317"/>
      <c r="S112" s="33"/>
      <c r="T112" s="33">
        <f t="shared" si="73"/>
        <v>550</v>
      </c>
      <c r="U112" s="33">
        <f t="shared" si="74"/>
        <v>2450</v>
      </c>
      <c r="V112" s="33">
        <f t="shared" si="75"/>
        <v>0</v>
      </c>
      <c r="W112" s="33">
        <f t="shared" si="76"/>
        <v>2450</v>
      </c>
      <c r="X112" s="33">
        <f t="shared" si="77"/>
        <v>431.54999999999995</v>
      </c>
      <c r="Y112" s="33">
        <f t="shared" si="78"/>
        <v>0</v>
      </c>
      <c r="Z112" s="33">
        <f t="shared" si="79"/>
        <v>431.54999999999995</v>
      </c>
      <c r="AA112" s="33"/>
      <c r="AB112" s="33">
        <v>100</v>
      </c>
      <c r="AC112" s="34">
        <f t="shared" si="61"/>
        <v>100</v>
      </c>
      <c r="AD112" s="317"/>
      <c r="AE112" s="34">
        <f t="shared" si="62"/>
        <v>100</v>
      </c>
      <c r="AF112" s="34"/>
      <c r="AG112" s="88"/>
      <c r="AH112" s="46"/>
    </row>
    <row r="113" spans="1:34" ht="23.25" hidden="1">
      <c r="A113" s="28">
        <v>7</v>
      </c>
      <c r="B113" s="29" t="s">
        <v>299</v>
      </c>
      <c r="C113" s="29" t="s">
        <v>300</v>
      </c>
      <c r="D113" s="29" t="s">
        <v>83</v>
      </c>
      <c r="E113" s="75" t="s">
        <v>301</v>
      </c>
      <c r="F113" s="42">
        <v>1</v>
      </c>
      <c r="G113" s="42"/>
      <c r="H113" s="70" t="s">
        <v>49</v>
      </c>
      <c r="I113" s="70" t="s">
        <v>49</v>
      </c>
      <c r="J113" s="89">
        <v>4999</v>
      </c>
      <c r="K113" s="320"/>
      <c r="L113" s="33">
        <f t="shared" si="71"/>
        <v>4999</v>
      </c>
      <c r="M113" s="33"/>
      <c r="N113" s="89">
        <v>1535.66</v>
      </c>
      <c r="O113" s="320"/>
      <c r="P113" s="33">
        <f>N113+O113</f>
        <v>1535.66</v>
      </c>
      <c r="Q113" s="33">
        <f>250+200</f>
        <v>450</v>
      </c>
      <c r="R113" s="317"/>
      <c r="S113" s="33"/>
      <c r="T113" s="33">
        <f t="shared" si="73"/>
        <v>450</v>
      </c>
      <c r="U113" s="33">
        <f t="shared" si="74"/>
        <v>4549</v>
      </c>
      <c r="V113" s="33">
        <f t="shared" si="75"/>
        <v>0</v>
      </c>
      <c r="W113" s="33">
        <f t="shared" si="76"/>
        <v>4549</v>
      </c>
      <c r="X113" s="33">
        <f t="shared" si="77"/>
        <v>1085.6600000000001</v>
      </c>
      <c r="Y113" s="33">
        <f t="shared" si="78"/>
        <v>0</v>
      </c>
      <c r="Z113" s="33">
        <f t="shared" si="79"/>
        <v>1085.6600000000001</v>
      </c>
      <c r="AA113" s="33"/>
      <c r="AB113" s="33">
        <v>100</v>
      </c>
      <c r="AC113" s="34">
        <f t="shared" si="61"/>
        <v>100</v>
      </c>
      <c r="AD113" s="317"/>
      <c r="AE113" s="34">
        <f t="shared" si="62"/>
        <v>100</v>
      </c>
      <c r="AF113" s="34"/>
      <c r="AG113" s="88"/>
      <c r="AH113" s="46"/>
    </row>
    <row r="114" spans="1:34" ht="23.25" hidden="1">
      <c r="A114" s="28">
        <v>8</v>
      </c>
      <c r="B114" s="29" t="s">
        <v>299</v>
      </c>
      <c r="C114" s="29" t="s">
        <v>302</v>
      </c>
      <c r="D114" s="29" t="s">
        <v>83</v>
      </c>
      <c r="E114" s="75" t="s">
        <v>303</v>
      </c>
      <c r="F114" s="42">
        <v>1</v>
      </c>
      <c r="G114" s="42"/>
      <c r="H114" s="70" t="s">
        <v>49</v>
      </c>
      <c r="I114" s="70" t="s">
        <v>49</v>
      </c>
      <c r="J114" s="89">
        <v>4998</v>
      </c>
      <c r="K114" s="320"/>
      <c r="L114" s="33">
        <f t="shared" si="71"/>
        <v>4998</v>
      </c>
      <c r="M114" s="33"/>
      <c r="N114" s="89">
        <v>1500.23</v>
      </c>
      <c r="O114" s="320"/>
      <c r="P114" s="33">
        <f>N114+O114</f>
        <v>1500.23</v>
      </c>
      <c r="Q114" s="33">
        <f>150+200</f>
        <v>350</v>
      </c>
      <c r="R114" s="317"/>
      <c r="S114" s="33"/>
      <c r="T114" s="33">
        <f t="shared" si="73"/>
        <v>350</v>
      </c>
      <c r="U114" s="33">
        <f t="shared" si="74"/>
        <v>4648</v>
      </c>
      <c r="V114" s="33">
        <f t="shared" si="75"/>
        <v>0</v>
      </c>
      <c r="W114" s="33">
        <f t="shared" si="76"/>
        <v>4648</v>
      </c>
      <c r="X114" s="33">
        <f t="shared" si="77"/>
        <v>1150.23</v>
      </c>
      <c r="Y114" s="33">
        <f t="shared" si="78"/>
        <v>0</v>
      </c>
      <c r="Z114" s="33">
        <f t="shared" si="79"/>
        <v>1150.23</v>
      </c>
      <c r="AA114" s="33"/>
      <c r="AB114" s="33">
        <v>100</v>
      </c>
      <c r="AC114" s="34">
        <f t="shared" si="61"/>
        <v>100</v>
      </c>
      <c r="AD114" s="317"/>
      <c r="AE114" s="34">
        <f t="shared" si="62"/>
        <v>100</v>
      </c>
      <c r="AF114" s="34"/>
      <c r="AG114" s="88"/>
      <c r="AH114" s="46"/>
    </row>
    <row r="115" spans="1:34" ht="46.5" hidden="1">
      <c r="A115" s="28">
        <v>9</v>
      </c>
      <c r="B115" s="29" t="s">
        <v>89</v>
      </c>
      <c r="C115" s="29" t="s">
        <v>304</v>
      </c>
      <c r="D115" s="29" t="s">
        <v>83</v>
      </c>
      <c r="E115" s="30" t="s">
        <v>305</v>
      </c>
      <c r="F115" s="42">
        <v>1</v>
      </c>
      <c r="G115" s="42"/>
      <c r="H115" s="70" t="s">
        <v>306</v>
      </c>
      <c r="I115" s="70" t="s">
        <v>306</v>
      </c>
      <c r="J115" s="89">
        <v>6992</v>
      </c>
      <c r="K115" s="320"/>
      <c r="L115" s="33">
        <f t="shared" ref="L115:L125" si="80">SUM(J115:K115)</f>
        <v>6992</v>
      </c>
      <c r="M115" s="33"/>
      <c r="N115" s="89">
        <v>2447</v>
      </c>
      <c r="O115" s="320"/>
      <c r="P115" s="33">
        <f>N115+O115</f>
        <v>2447</v>
      </c>
      <c r="Q115" s="33">
        <f>200+250</f>
        <v>450</v>
      </c>
      <c r="R115" s="317"/>
      <c r="S115" s="33"/>
      <c r="T115" s="33">
        <f t="shared" si="73"/>
        <v>450</v>
      </c>
      <c r="U115" s="33">
        <f t="shared" si="74"/>
        <v>6542</v>
      </c>
      <c r="V115" s="33">
        <f t="shared" si="75"/>
        <v>0</v>
      </c>
      <c r="W115" s="33">
        <f t="shared" si="76"/>
        <v>6542</v>
      </c>
      <c r="X115" s="33">
        <f t="shared" si="77"/>
        <v>1997</v>
      </c>
      <c r="Y115" s="33">
        <f t="shared" si="78"/>
        <v>0</v>
      </c>
      <c r="Z115" s="33">
        <f t="shared" si="79"/>
        <v>1997</v>
      </c>
      <c r="AA115" s="33"/>
      <c r="AB115" s="33">
        <v>200</v>
      </c>
      <c r="AC115" s="34">
        <f t="shared" si="61"/>
        <v>200</v>
      </c>
      <c r="AD115" s="317"/>
      <c r="AE115" s="34">
        <f t="shared" si="62"/>
        <v>200</v>
      </c>
      <c r="AF115" s="34"/>
      <c r="AG115" s="88"/>
      <c r="AH115" s="46"/>
    </row>
    <row r="116" spans="1:34" ht="46.5" hidden="1">
      <c r="A116" s="28">
        <v>10</v>
      </c>
      <c r="B116" s="29" t="s">
        <v>89</v>
      </c>
      <c r="C116" s="29" t="s">
        <v>307</v>
      </c>
      <c r="D116" s="29" t="s">
        <v>83</v>
      </c>
      <c r="E116" s="30" t="s">
        <v>308</v>
      </c>
      <c r="F116" s="42">
        <v>1</v>
      </c>
      <c r="G116" s="42"/>
      <c r="H116" s="70" t="s">
        <v>49</v>
      </c>
      <c r="I116" s="70" t="s">
        <v>49</v>
      </c>
      <c r="J116" s="89">
        <f>3100+460</f>
        <v>3560</v>
      </c>
      <c r="K116" s="320"/>
      <c r="L116" s="33">
        <f t="shared" si="80"/>
        <v>3560</v>
      </c>
      <c r="M116" s="33"/>
      <c r="N116" s="89">
        <v>3156.57</v>
      </c>
      <c r="O116" s="320"/>
      <c r="P116" s="33">
        <f>N116+O116</f>
        <v>3156.57</v>
      </c>
      <c r="Q116" s="33">
        <f>500+700</f>
        <v>1200</v>
      </c>
      <c r="R116" s="317"/>
      <c r="S116" s="33"/>
      <c r="T116" s="33">
        <f t="shared" si="73"/>
        <v>1200</v>
      </c>
      <c r="U116" s="33">
        <f t="shared" si="74"/>
        <v>2360</v>
      </c>
      <c r="V116" s="33">
        <f t="shared" si="75"/>
        <v>0</v>
      </c>
      <c r="W116" s="33">
        <f t="shared" si="76"/>
        <v>2360</v>
      </c>
      <c r="X116" s="33">
        <f t="shared" si="77"/>
        <v>1956.5700000000002</v>
      </c>
      <c r="Y116" s="33">
        <f t="shared" si="78"/>
        <v>0</v>
      </c>
      <c r="Z116" s="33">
        <f t="shared" si="79"/>
        <v>1956.5700000000002</v>
      </c>
      <c r="AA116" s="33"/>
      <c r="AB116" s="33">
        <v>300</v>
      </c>
      <c r="AC116" s="34">
        <f t="shared" si="61"/>
        <v>300</v>
      </c>
      <c r="AD116" s="317"/>
      <c r="AE116" s="34">
        <f t="shared" si="62"/>
        <v>300</v>
      </c>
      <c r="AF116" s="34"/>
      <c r="AG116" s="88"/>
      <c r="AH116" s="46"/>
    </row>
    <row r="117" spans="1:34" ht="46.5" hidden="1">
      <c r="A117" s="28">
        <v>11</v>
      </c>
      <c r="B117" s="29" t="s">
        <v>250</v>
      </c>
      <c r="C117" s="29" t="s">
        <v>309</v>
      </c>
      <c r="D117" s="29" t="s">
        <v>83</v>
      </c>
      <c r="E117" s="30" t="s">
        <v>310</v>
      </c>
      <c r="F117" s="42">
        <v>1</v>
      </c>
      <c r="G117" s="42"/>
      <c r="H117" s="70" t="s">
        <v>67</v>
      </c>
      <c r="I117" s="70" t="s">
        <v>67</v>
      </c>
      <c r="J117" s="89">
        <v>4985</v>
      </c>
      <c r="K117" s="320"/>
      <c r="L117" s="33">
        <f t="shared" si="80"/>
        <v>4985</v>
      </c>
      <c r="M117" s="33"/>
      <c r="N117" s="89">
        <f>J117*30/100</f>
        <v>1495.5</v>
      </c>
      <c r="O117" s="320"/>
      <c r="P117" s="33">
        <f>SUM(N117:O117)</f>
        <v>1495.5</v>
      </c>
      <c r="Q117" s="33">
        <f>350+300</f>
        <v>650</v>
      </c>
      <c r="R117" s="317"/>
      <c r="S117" s="33"/>
      <c r="T117" s="33">
        <f t="shared" si="73"/>
        <v>650</v>
      </c>
      <c r="U117" s="33">
        <f t="shared" si="74"/>
        <v>4335</v>
      </c>
      <c r="V117" s="33">
        <f t="shared" si="75"/>
        <v>0</v>
      </c>
      <c r="W117" s="33">
        <f t="shared" si="76"/>
        <v>4335</v>
      </c>
      <c r="X117" s="33">
        <f t="shared" si="77"/>
        <v>845.5</v>
      </c>
      <c r="Y117" s="33">
        <f t="shared" si="78"/>
        <v>0</v>
      </c>
      <c r="Z117" s="33">
        <f t="shared" si="79"/>
        <v>845.5</v>
      </c>
      <c r="AA117" s="33"/>
      <c r="AB117" s="33">
        <v>100</v>
      </c>
      <c r="AC117" s="34">
        <f t="shared" si="61"/>
        <v>100</v>
      </c>
      <c r="AD117" s="317"/>
      <c r="AE117" s="34">
        <f t="shared" si="62"/>
        <v>100</v>
      </c>
      <c r="AF117" s="34"/>
      <c r="AG117" s="90" t="s">
        <v>37</v>
      </c>
      <c r="AH117" s="91"/>
    </row>
    <row r="118" spans="1:34" ht="23.25" hidden="1">
      <c r="A118" s="28">
        <v>12</v>
      </c>
      <c r="B118" s="29" t="s">
        <v>89</v>
      </c>
      <c r="C118" s="29" t="s">
        <v>311</v>
      </c>
      <c r="D118" s="29" t="s">
        <v>83</v>
      </c>
      <c r="E118" s="75" t="s">
        <v>312</v>
      </c>
      <c r="F118" s="42">
        <v>1</v>
      </c>
      <c r="G118" s="42"/>
      <c r="H118" s="70" t="s">
        <v>67</v>
      </c>
      <c r="I118" s="70" t="s">
        <v>67</v>
      </c>
      <c r="J118" s="89">
        <v>3285</v>
      </c>
      <c r="K118" s="320"/>
      <c r="L118" s="33">
        <f t="shared" si="80"/>
        <v>3285</v>
      </c>
      <c r="M118" s="33"/>
      <c r="N118" s="89">
        <v>1062</v>
      </c>
      <c r="O118" s="320"/>
      <c r="P118" s="33">
        <f>SUM(N118:O118)</f>
        <v>1062</v>
      </c>
      <c r="Q118" s="33">
        <v>300</v>
      </c>
      <c r="R118" s="317"/>
      <c r="S118" s="33"/>
      <c r="T118" s="33">
        <f t="shared" si="73"/>
        <v>300</v>
      </c>
      <c r="U118" s="33">
        <f t="shared" si="74"/>
        <v>2985</v>
      </c>
      <c r="V118" s="33">
        <f t="shared" si="75"/>
        <v>0</v>
      </c>
      <c r="W118" s="33">
        <f t="shared" si="76"/>
        <v>2985</v>
      </c>
      <c r="X118" s="33">
        <f t="shared" si="77"/>
        <v>762</v>
      </c>
      <c r="Y118" s="33">
        <f t="shared" si="78"/>
        <v>0</v>
      </c>
      <c r="Z118" s="33">
        <f t="shared" si="79"/>
        <v>762</v>
      </c>
      <c r="AA118" s="33">
        <v>300</v>
      </c>
      <c r="AB118" s="33">
        <v>100</v>
      </c>
      <c r="AC118" s="34">
        <f t="shared" si="61"/>
        <v>400</v>
      </c>
      <c r="AD118" s="317"/>
      <c r="AE118" s="34">
        <f t="shared" si="62"/>
        <v>400</v>
      </c>
      <c r="AF118" s="34"/>
      <c r="AG118" s="90" t="s">
        <v>37</v>
      </c>
      <c r="AH118" s="91"/>
    </row>
    <row r="119" spans="1:34" ht="23.25" hidden="1">
      <c r="A119" s="28">
        <v>13</v>
      </c>
      <c r="B119" s="29" t="s">
        <v>89</v>
      </c>
      <c r="C119" s="29" t="s">
        <v>313</v>
      </c>
      <c r="D119" s="29" t="s">
        <v>83</v>
      </c>
      <c r="E119" s="75" t="s">
        <v>314</v>
      </c>
      <c r="F119" s="42">
        <v>1</v>
      </c>
      <c r="G119" s="42"/>
      <c r="H119" s="70" t="s">
        <v>67</v>
      </c>
      <c r="I119" s="70" t="s">
        <v>67</v>
      </c>
      <c r="J119" s="89">
        <v>4998</v>
      </c>
      <c r="K119" s="320"/>
      <c r="L119" s="33">
        <f t="shared" si="80"/>
        <v>4998</v>
      </c>
      <c r="M119" s="33"/>
      <c r="N119" s="89">
        <v>4998</v>
      </c>
      <c r="O119" s="320"/>
      <c r="P119" s="33">
        <f>SUM(N119:O119)</f>
        <v>4998</v>
      </c>
      <c r="Q119" s="33">
        <f>1350+250</f>
        <v>1600</v>
      </c>
      <c r="R119" s="317"/>
      <c r="S119" s="33"/>
      <c r="T119" s="33">
        <f t="shared" si="73"/>
        <v>1600</v>
      </c>
      <c r="U119" s="33">
        <f t="shared" si="74"/>
        <v>3398</v>
      </c>
      <c r="V119" s="33">
        <f t="shared" si="75"/>
        <v>0</v>
      </c>
      <c r="W119" s="33">
        <f t="shared" si="76"/>
        <v>3398</v>
      </c>
      <c r="X119" s="33">
        <f t="shared" si="77"/>
        <v>3398</v>
      </c>
      <c r="Y119" s="33">
        <f t="shared" si="78"/>
        <v>0</v>
      </c>
      <c r="Z119" s="33">
        <f t="shared" si="79"/>
        <v>3398</v>
      </c>
      <c r="AA119" s="33"/>
      <c r="AB119" s="33">
        <v>100</v>
      </c>
      <c r="AC119" s="34">
        <f t="shared" si="61"/>
        <v>100</v>
      </c>
      <c r="AD119" s="317"/>
      <c r="AE119" s="34">
        <f t="shared" si="62"/>
        <v>100</v>
      </c>
      <c r="AF119" s="34"/>
      <c r="AG119" s="90" t="s">
        <v>37</v>
      </c>
      <c r="AH119" s="91"/>
    </row>
    <row r="120" spans="1:34" ht="23.25" hidden="1">
      <c r="A120" s="28">
        <v>14</v>
      </c>
      <c r="B120" s="29" t="s">
        <v>89</v>
      </c>
      <c r="C120" s="29" t="s">
        <v>315</v>
      </c>
      <c r="D120" s="29" t="s">
        <v>83</v>
      </c>
      <c r="E120" s="75" t="s">
        <v>316</v>
      </c>
      <c r="F120" s="42">
        <v>1</v>
      </c>
      <c r="G120" s="42"/>
      <c r="H120" s="70" t="s">
        <v>67</v>
      </c>
      <c r="I120" s="70" t="s">
        <v>67</v>
      </c>
      <c r="J120" s="89">
        <v>4998</v>
      </c>
      <c r="K120" s="320"/>
      <c r="L120" s="33">
        <f t="shared" si="80"/>
        <v>4998</v>
      </c>
      <c r="M120" s="33"/>
      <c r="N120" s="89">
        <v>4998</v>
      </c>
      <c r="O120" s="320"/>
      <c r="P120" s="33">
        <f>SUM(N120:O120)</f>
        <v>4998</v>
      </c>
      <c r="Q120" s="33">
        <f>1350+250</f>
        <v>1600</v>
      </c>
      <c r="R120" s="317"/>
      <c r="S120" s="33"/>
      <c r="T120" s="33">
        <f t="shared" si="73"/>
        <v>1600</v>
      </c>
      <c r="U120" s="33">
        <f t="shared" si="74"/>
        <v>3398</v>
      </c>
      <c r="V120" s="33">
        <f t="shared" si="75"/>
        <v>0</v>
      </c>
      <c r="W120" s="33">
        <f t="shared" si="76"/>
        <v>3398</v>
      </c>
      <c r="X120" s="33">
        <f t="shared" si="77"/>
        <v>3398</v>
      </c>
      <c r="Y120" s="33">
        <f t="shared" si="78"/>
        <v>0</v>
      </c>
      <c r="Z120" s="33">
        <f t="shared" si="79"/>
        <v>3398</v>
      </c>
      <c r="AA120" s="33"/>
      <c r="AB120" s="33">
        <v>100</v>
      </c>
      <c r="AC120" s="34">
        <f t="shared" si="61"/>
        <v>100</v>
      </c>
      <c r="AD120" s="317"/>
      <c r="AE120" s="34">
        <f t="shared" si="62"/>
        <v>100</v>
      </c>
      <c r="AF120" s="34"/>
      <c r="AG120" s="90" t="s">
        <v>37</v>
      </c>
      <c r="AH120" s="91"/>
    </row>
    <row r="121" spans="1:34" ht="23.25" hidden="1">
      <c r="A121" s="28">
        <v>15</v>
      </c>
      <c r="B121" s="29" t="s">
        <v>317</v>
      </c>
      <c r="C121" s="29" t="s">
        <v>318</v>
      </c>
      <c r="D121" s="29" t="s">
        <v>319</v>
      </c>
      <c r="E121" s="75" t="s">
        <v>320</v>
      </c>
      <c r="F121" s="42">
        <v>1</v>
      </c>
      <c r="G121" s="42"/>
      <c r="H121" s="70" t="s">
        <v>67</v>
      </c>
      <c r="I121" s="70" t="s">
        <v>67</v>
      </c>
      <c r="J121" s="89">
        <v>2580</v>
      </c>
      <c r="K121" s="320"/>
      <c r="L121" s="33">
        <f t="shared" si="80"/>
        <v>2580</v>
      </c>
      <c r="M121" s="33"/>
      <c r="N121" s="89">
        <v>2579.88</v>
      </c>
      <c r="O121" s="320"/>
      <c r="P121" s="33">
        <f>SUM(N121:O121)</f>
        <v>2579.88</v>
      </c>
      <c r="Q121" s="33">
        <f>250+200</f>
        <v>450</v>
      </c>
      <c r="R121" s="317"/>
      <c r="S121" s="33"/>
      <c r="T121" s="33">
        <f t="shared" si="73"/>
        <v>450</v>
      </c>
      <c r="U121" s="33">
        <f t="shared" si="74"/>
        <v>2130</v>
      </c>
      <c r="V121" s="33">
        <f t="shared" si="75"/>
        <v>0</v>
      </c>
      <c r="W121" s="33">
        <f t="shared" si="76"/>
        <v>2130</v>
      </c>
      <c r="X121" s="33">
        <f t="shared" si="77"/>
        <v>2129.88</v>
      </c>
      <c r="Y121" s="33">
        <f t="shared" si="78"/>
        <v>0</v>
      </c>
      <c r="Z121" s="33">
        <f t="shared" si="79"/>
        <v>2129.88</v>
      </c>
      <c r="AA121" s="33"/>
      <c r="AB121" s="33">
        <v>100</v>
      </c>
      <c r="AC121" s="34">
        <f t="shared" si="61"/>
        <v>100</v>
      </c>
      <c r="AD121" s="317"/>
      <c r="AE121" s="34">
        <f t="shared" si="62"/>
        <v>100</v>
      </c>
      <c r="AF121" s="34"/>
      <c r="AG121" s="90" t="s">
        <v>37</v>
      </c>
      <c r="AH121" s="91"/>
    </row>
    <row r="122" spans="1:34" ht="23.25" hidden="1">
      <c r="A122" s="28">
        <v>16</v>
      </c>
      <c r="B122" s="29" t="s">
        <v>89</v>
      </c>
      <c r="C122" s="29" t="s">
        <v>321</v>
      </c>
      <c r="D122" s="29" t="s">
        <v>83</v>
      </c>
      <c r="E122" s="30" t="s">
        <v>322</v>
      </c>
      <c r="F122" s="42">
        <v>1</v>
      </c>
      <c r="G122" s="42"/>
      <c r="H122" s="70" t="s">
        <v>49</v>
      </c>
      <c r="I122" s="70" t="s">
        <v>49</v>
      </c>
      <c r="J122" s="89">
        <v>4150</v>
      </c>
      <c r="K122" s="320"/>
      <c r="L122" s="33">
        <f t="shared" si="80"/>
        <v>4150</v>
      </c>
      <c r="M122" s="33"/>
      <c r="N122" s="89">
        <v>2326.83</v>
      </c>
      <c r="O122" s="320"/>
      <c r="P122" s="33">
        <f>N122+O122</f>
        <v>2326.83</v>
      </c>
      <c r="Q122" s="33">
        <f>141.11+150</f>
        <v>291.11</v>
      </c>
      <c r="R122" s="317"/>
      <c r="S122" s="33"/>
      <c r="T122" s="33">
        <f t="shared" si="73"/>
        <v>291.11</v>
      </c>
      <c r="U122" s="33">
        <f t="shared" si="74"/>
        <v>3858.89</v>
      </c>
      <c r="V122" s="33">
        <f t="shared" si="75"/>
        <v>0</v>
      </c>
      <c r="W122" s="33">
        <f t="shared" si="76"/>
        <v>3858.89</v>
      </c>
      <c r="X122" s="33">
        <f t="shared" si="77"/>
        <v>2035.7199999999998</v>
      </c>
      <c r="Y122" s="33">
        <f t="shared" si="78"/>
        <v>0</v>
      </c>
      <c r="Z122" s="33">
        <f t="shared" si="79"/>
        <v>2035.7199999999998</v>
      </c>
      <c r="AA122" s="33"/>
      <c r="AB122" s="33">
        <v>200</v>
      </c>
      <c r="AC122" s="34">
        <f t="shared" si="61"/>
        <v>200</v>
      </c>
      <c r="AD122" s="317"/>
      <c r="AE122" s="34">
        <f t="shared" si="62"/>
        <v>200</v>
      </c>
      <c r="AF122" s="34"/>
      <c r="AG122" s="88"/>
      <c r="AH122" s="46"/>
    </row>
    <row r="123" spans="1:34" ht="23.25" hidden="1">
      <c r="A123" s="28">
        <v>17</v>
      </c>
      <c r="B123" s="29" t="s">
        <v>323</v>
      </c>
      <c r="C123" s="29" t="s">
        <v>324</v>
      </c>
      <c r="D123" s="29" t="s">
        <v>83</v>
      </c>
      <c r="E123" s="47" t="s">
        <v>325</v>
      </c>
      <c r="F123" s="42">
        <v>1</v>
      </c>
      <c r="G123" s="42"/>
      <c r="H123" s="43" t="s">
        <v>42</v>
      </c>
      <c r="I123" s="43" t="s">
        <v>42</v>
      </c>
      <c r="J123" s="44">
        <v>3402.8500000000004</v>
      </c>
      <c r="K123" s="320"/>
      <c r="L123" s="33">
        <f t="shared" si="80"/>
        <v>3402.8500000000004</v>
      </c>
      <c r="M123" s="33"/>
      <c r="N123" s="44">
        <v>3131.54</v>
      </c>
      <c r="O123" s="320"/>
      <c r="P123" s="33">
        <f>SUM(N123:O123)</f>
        <v>3131.54</v>
      </c>
      <c r="Q123" s="33">
        <f>604+200</f>
        <v>804</v>
      </c>
      <c r="R123" s="317"/>
      <c r="S123" s="33"/>
      <c r="T123" s="33">
        <f t="shared" si="73"/>
        <v>804</v>
      </c>
      <c r="U123" s="33">
        <f t="shared" si="74"/>
        <v>2598.8500000000004</v>
      </c>
      <c r="V123" s="33">
        <f t="shared" si="75"/>
        <v>0</v>
      </c>
      <c r="W123" s="33">
        <f t="shared" si="76"/>
        <v>2598.8500000000004</v>
      </c>
      <c r="X123" s="33">
        <f t="shared" si="77"/>
        <v>2327.54</v>
      </c>
      <c r="Y123" s="33">
        <f t="shared" si="78"/>
        <v>0</v>
      </c>
      <c r="Z123" s="33">
        <f t="shared" si="79"/>
        <v>2327.54</v>
      </c>
      <c r="AA123" s="33">
        <v>200</v>
      </c>
      <c r="AB123" s="33">
        <v>100</v>
      </c>
      <c r="AC123" s="34">
        <f t="shared" si="61"/>
        <v>300</v>
      </c>
      <c r="AD123" s="317"/>
      <c r="AE123" s="34">
        <f t="shared" si="62"/>
        <v>300</v>
      </c>
      <c r="AF123" s="34"/>
      <c r="AG123" s="83"/>
      <c r="AH123" s="81"/>
    </row>
    <row r="124" spans="1:34" ht="23.25" hidden="1">
      <c r="A124" s="28">
        <v>18</v>
      </c>
      <c r="B124" s="29" t="s">
        <v>299</v>
      </c>
      <c r="C124" s="29" t="s">
        <v>326</v>
      </c>
      <c r="D124" s="29" t="s">
        <v>83</v>
      </c>
      <c r="E124" s="75" t="s">
        <v>327</v>
      </c>
      <c r="F124" s="42">
        <v>1</v>
      </c>
      <c r="G124" s="42"/>
      <c r="H124" s="43" t="s">
        <v>46</v>
      </c>
      <c r="I124" s="43" t="s">
        <v>46</v>
      </c>
      <c r="J124" s="89">
        <v>2320</v>
      </c>
      <c r="K124" s="320"/>
      <c r="L124" s="33">
        <f t="shared" si="80"/>
        <v>2320</v>
      </c>
      <c r="M124" s="33"/>
      <c r="N124" s="78">
        <v>744.83</v>
      </c>
      <c r="O124" s="320"/>
      <c r="P124" s="33">
        <f>SUM(N124:O124)</f>
        <v>744.83</v>
      </c>
      <c r="Q124" s="33">
        <f>200+150</f>
        <v>350</v>
      </c>
      <c r="R124" s="317"/>
      <c r="S124" s="33"/>
      <c r="T124" s="33">
        <f t="shared" si="73"/>
        <v>350</v>
      </c>
      <c r="U124" s="33">
        <f t="shared" si="74"/>
        <v>1970</v>
      </c>
      <c r="V124" s="33">
        <f t="shared" si="75"/>
        <v>0</v>
      </c>
      <c r="W124" s="33">
        <f t="shared" si="76"/>
        <v>1970</v>
      </c>
      <c r="X124" s="33">
        <f t="shared" si="77"/>
        <v>394.83000000000004</v>
      </c>
      <c r="Y124" s="33">
        <f t="shared" si="78"/>
        <v>0</v>
      </c>
      <c r="Z124" s="33">
        <f t="shared" si="79"/>
        <v>394.83000000000004</v>
      </c>
      <c r="AA124" s="33">
        <v>150</v>
      </c>
      <c r="AB124" s="33">
        <v>100</v>
      </c>
      <c r="AC124" s="34">
        <f t="shared" si="61"/>
        <v>250</v>
      </c>
      <c r="AD124" s="317"/>
      <c r="AE124" s="34">
        <f t="shared" si="62"/>
        <v>250</v>
      </c>
      <c r="AF124" s="34"/>
      <c r="AG124" s="88"/>
      <c r="AH124" s="46"/>
    </row>
    <row r="125" spans="1:34" ht="23.25" hidden="1">
      <c r="A125" s="28">
        <v>19</v>
      </c>
      <c r="B125" s="29" t="s">
        <v>82</v>
      </c>
      <c r="C125" s="29" t="s">
        <v>328</v>
      </c>
      <c r="D125" s="29" t="s">
        <v>83</v>
      </c>
      <c r="E125" s="75" t="s">
        <v>329</v>
      </c>
      <c r="F125" s="42">
        <v>1</v>
      </c>
      <c r="G125" s="42"/>
      <c r="H125" s="70" t="s">
        <v>49</v>
      </c>
      <c r="I125" s="70" t="s">
        <v>49</v>
      </c>
      <c r="J125" s="89">
        <v>4047</v>
      </c>
      <c r="K125" s="320"/>
      <c r="L125" s="33">
        <f t="shared" si="80"/>
        <v>4047</v>
      </c>
      <c r="M125" s="33"/>
      <c r="N125" s="89">
        <v>1390.42</v>
      </c>
      <c r="O125" s="320"/>
      <c r="P125" s="33">
        <f>N125+O125</f>
        <v>1390.42</v>
      </c>
      <c r="Q125" s="33">
        <f>250+200</f>
        <v>450</v>
      </c>
      <c r="R125" s="317"/>
      <c r="S125" s="33"/>
      <c r="T125" s="33">
        <f t="shared" si="73"/>
        <v>450</v>
      </c>
      <c r="U125" s="33">
        <f t="shared" si="74"/>
        <v>3597</v>
      </c>
      <c r="V125" s="33">
        <f t="shared" si="75"/>
        <v>0</v>
      </c>
      <c r="W125" s="33">
        <f t="shared" si="76"/>
        <v>3597</v>
      </c>
      <c r="X125" s="33">
        <f t="shared" si="77"/>
        <v>940.42000000000007</v>
      </c>
      <c r="Y125" s="33">
        <f t="shared" si="78"/>
        <v>0</v>
      </c>
      <c r="Z125" s="33">
        <f t="shared" si="79"/>
        <v>940.42000000000007</v>
      </c>
      <c r="AA125" s="33"/>
      <c r="AB125" s="33">
        <v>100</v>
      </c>
      <c r="AC125" s="34">
        <f t="shared" si="61"/>
        <v>100</v>
      </c>
      <c r="AD125" s="317"/>
      <c r="AE125" s="34">
        <f t="shared" si="62"/>
        <v>100</v>
      </c>
      <c r="AF125" s="34"/>
      <c r="AG125" s="88"/>
      <c r="AH125" s="46"/>
    </row>
    <row r="126" spans="1:34" ht="46.5" hidden="1">
      <c r="A126" s="28">
        <v>20</v>
      </c>
      <c r="B126" s="29" t="s">
        <v>299</v>
      </c>
      <c r="C126" s="29" t="s">
        <v>330</v>
      </c>
      <c r="D126" s="29" t="s">
        <v>83</v>
      </c>
      <c r="E126" s="133" t="s">
        <v>331</v>
      </c>
      <c r="F126" s="42">
        <v>1</v>
      </c>
      <c r="G126" s="42"/>
      <c r="H126" s="93" t="s">
        <v>150</v>
      </c>
      <c r="I126" s="93" t="s">
        <v>150</v>
      </c>
      <c r="J126" s="89">
        <v>3767</v>
      </c>
      <c r="K126" s="320"/>
      <c r="L126" s="33">
        <f>J126+K126</f>
        <v>3767</v>
      </c>
      <c r="M126" s="33"/>
      <c r="N126" s="33">
        <v>200</v>
      </c>
      <c r="O126" s="320"/>
      <c r="P126" s="33">
        <f t="shared" ref="P126:P131" si="81">SUM(N126:O126)</f>
        <v>200</v>
      </c>
      <c r="Q126" s="33">
        <v>200</v>
      </c>
      <c r="R126" s="317"/>
      <c r="S126" s="33"/>
      <c r="T126" s="33">
        <f t="shared" si="73"/>
        <v>200</v>
      </c>
      <c r="U126" s="33">
        <f>J126-Q126-S126</f>
        <v>3567</v>
      </c>
      <c r="V126" s="33">
        <f>K126-R126</f>
        <v>0</v>
      </c>
      <c r="W126" s="33">
        <f t="shared" si="76"/>
        <v>3567</v>
      </c>
      <c r="X126" s="33">
        <f>N126-Q126-S126</f>
        <v>0</v>
      </c>
      <c r="Y126" s="33">
        <f>O126-R126</f>
        <v>0</v>
      </c>
      <c r="Z126" s="33">
        <f t="shared" si="79"/>
        <v>0</v>
      </c>
      <c r="AA126" s="33">
        <v>200</v>
      </c>
      <c r="AB126" s="33">
        <v>100</v>
      </c>
      <c r="AC126" s="34">
        <f t="shared" si="61"/>
        <v>300</v>
      </c>
      <c r="AD126" s="317"/>
      <c r="AE126" s="34">
        <f t="shared" si="62"/>
        <v>300</v>
      </c>
      <c r="AF126" s="34"/>
      <c r="AG126" s="90" t="s">
        <v>37</v>
      </c>
      <c r="AH126" s="95"/>
    </row>
    <row r="127" spans="1:34" ht="23.25" hidden="1">
      <c r="A127" s="28">
        <v>21</v>
      </c>
      <c r="B127" s="29" t="s">
        <v>299</v>
      </c>
      <c r="C127" s="29" t="s">
        <v>332</v>
      </c>
      <c r="D127" s="29" t="s">
        <v>83</v>
      </c>
      <c r="E127" s="92" t="s">
        <v>333</v>
      </c>
      <c r="F127" s="42">
        <v>1</v>
      </c>
      <c r="G127" s="42"/>
      <c r="H127" s="93" t="s">
        <v>150</v>
      </c>
      <c r="I127" s="93" t="s">
        <v>150</v>
      </c>
      <c r="J127" s="89">
        <v>1416</v>
      </c>
      <c r="K127" s="320"/>
      <c r="L127" s="33">
        <f>J127+K127</f>
        <v>1416</v>
      </c>
      <c r="M127" s="33"/>
      <c r="N127" s="33">
        <v>200</v>
      </c>
      <c r="O127" s="320"/>
      <c r="P127" s="33">
        <f t="shared" si="81"/>
        <v>200</v>
      </c>
      <c r="Q127" s="33">
        <v>200</v>
      </c>
      <c r="R127" s="317"/>
      <c r="S127" s="33"/>
      <c r="T127" s="33">
        <f t="shared" si="73"/>
        <v>200</v>
      </c>
      <c r="U127" s="33">
        <f>J127-Q127-S127</f>
        <v>1216</v>
      </c>
      <c r="V127" s="33">
        <f>K127-R127</f>
        <v>0</v>
      </c>
      <c r="W127" s="33">
        <f t="shared" si="76"/>
        <v>1216</v>
      </c>
      <c r="X127" s="33">
        <f>N127-Q127-S127</f>
        <v>0</v>
      </c>
      <c r="Y127" s="33">
        <f>O127-R127</f>
        <v>0</v>
      </c>
      <c r="Z127" s="33">
        <f t="shared" si="79"/>
        <v>0</v>
      </c>
      <c r="AA127" s="33">
        <v>200</v>
      </c>
      <c r="AB127" s="33">
        <v>100</v>
      </c>
      <c r="AC127" s="34">
        <f t="shared" si="61"/>
        <v>300</v>
      </c>
      <c r="AD127" s="317"/>
      <c r="AE127" s="34">
        <f t="shared" si="62"/>
        <v>300</v>
      </c>
      <c r="AF127" s="34"/>
      <c r="AG127" s="90" t="s">
        <v>37</v>
      </c>
      <c r="AH127" s="95"/>
    </row>
    <row r="128" spans="1:34" ht="23.25" hidden="1">
      <c r="A128" s="28">
        <v>22</v>
      </c>
      <c r="B128" s="29" t="s">
        <v>89</v>
      </c>
      <c r="C128" s="29" t="s">
        <v>334</v>
      </c>
      <c r="D128" s="29" t="s">
        <v>222</v>
      </c>
      <c r="E128" s="92" t="s">
        <v>335</v>
      </c>
      <c r="F128" s="42">
        <v>1</v>
      </c>
      <c r="G128" s="42"/>
      <c r="H128" s="93" t="s">
        <v>150</v>
      </c>
      <c r="I128" s="93" t="s">
        <v>150</v>
      </c>
      <c r="J128" s="89">
        <v>1983</v>
      </c>
      <c r="K128" s="320"/>
      <c r="L128" s="33">
        <f>J128+K128</f>
        <v>1983</v>
      </c>
      <c r="M128" s="33"/>
      <c r="N128" s="89">
        <v>1983</v>
      </c>
      <c r="O128" s="320"/>
      <c r="P128" s="33">
        <f t="shared" si="81"/>
        <v>1983</v>
      </c>
      <c r="Q128" s="33">
        <v>200</v>
      </c>
      <c r="R128" s="317"/>
      <c r="S128" s="33"/>
      <c r="T128" s="33">
        <f t="shared" si="73"/>
        <v>200</v>
      </c>
      <c r="U128" s="33">
        <f>J128-Q128-S128</f>
        <v>1783</v>
      </c>
      <c r="V128" s="33">
        <f>K128-R128</f>
        <v>0</v>
      </c>
      <c r="W128" s="33">
        <f t="shared" si="76"/>
        <v>1783</v>
      </c>
      <c r="X128" s="33">
        <f>N128-Q128-S128</f>
        <v>1783</v>
      </c>
      <c r="Y128" s="33">
        <f>O128-R128</f>
        <v>0</v>
      </c>
      <c r="Z128" s="33">
        <f t="shared" si="79"/>
        <v>1783</v>
      </c>
      <c r="AA128" s="33">
        <v>200</v>
      </c>
      <c r="AB128" s="33">
        <v>100</v>
      </c>
      <c r="AC128" s="34">
        <f t="shared" si="61"/>
        <v>300</v>
      </c>
      <c r="AD128" s="317"/>
      <c r="AE128" s="34">
        <f t="shared" si="62"/>
        <v>300</v>
      </c>
      <c r="AF128" s="34"/>
      <c r="AG128" s="90" t="s">
        <v>37</v>
      </c>
      <c r="AH128" s="95"/>
    </row>
    <row r="129" spans="1:34" ht="46.5" hidden="1">
      <c r="A129" s="28">
        <v>23</v>
      </c>
      <c r="B129" s="29" t="s">
        <v>336</v>
      </c>
      <c r="C129" s="29" t="s">
        <v>337</v>
      </c>
      <c r="D129" s="29" t="s">
        <v>178</v>
      </c>
      <c r="E129" s="134" t="s">
        <v>338</v>
      </c>
      <c r="F129" s="42">
        <v>1</v>
      </c>
      <c r="G129" s="42"/>
      <c r="H129" s="43" t="s">
        <v>74</v>
      </c>
      <c r="I129" s="43" t="s">
        <v>74</v>
      </c>
      <c r="J129" s="44">
        <v>393</v>
      </c>
      <c r="K129" s="322"/>
      <c r="L129" s="33">
        <f>J129+K129</f>
        <v>393</v>
      </c>
      <c r="M129" s="33"/>
      <c r="N129" s="44">
        <v>393</v>
      </c>
      <c r="O129" s="322"/>
      <c r="P129" s="33">
        <f t="shared" si="81"/>
        <v>393</v>
      </c>
      <c r="Q129" s="44">
        <v>200</v>
      </c>
      <c r="R129" s="322"/>
      <c r="S129" s="87"/>
      <c r="T129" s="33">
        <f t="shared" si="73"/>
        <v>200</v>
      </c>
      <c r="U129" s="33">
        <f>J129-Q129-S129</f>
        <v>193</v>
      </c>
      <c r="V129" s="33">
        <f>K129-R129</f>
        <v>0</v>
      </c>
      <c r="W129" s="33">
        <f t="shared" si="76"/>
        <v>193</v>
      </c>
      <c r="X129" s="33">
        <f>N129-Q129-S129</f>
        <v>193</v>
      </c>
      <c r="Y129" s="33">
        <f>O129-R129</f>
        <v>0</v>
      </c>
      <c r="Z129" s="33">
        <f t="shared" si="79"/>
        <v>193</v>
      </c>
      <c r="AA129" s="33">
        <v>200</v>
      </c>
      <c r="AB129" s="33">
        <v>193</v>
      </c>
      <c r="AC129" s="34">
        <f t="shared" si="61"/>
        <v>393</v>
      </c>
      <c r="AD129" s="317"/>
      <c r="AE129" s="34">
        <f t="shared" si="62"/>
        <v>393</v>
      </c>
      <c r="AF129" s="34"/>
      <c r="AG129" s="90" t="s">
        <v>37</v>
      </c>
      <c r="AH129" s="95"/>
    </row>
    <row r="130" spans="1:34" ht="46.5" hidden="1">
      <c r="A130" s="28">
        <v>1</v>
      </c>
      <c r="B130" s="29" t="s">
        <v>339</v>
      </c>
      <c r="C130" s="29" t="s">
        <v>340</v>
      </c>
      <c r="D130" s="29" t="s">
        <v>254</v>
      </c>
      <c r="E130" s="48" t="s">
        <v>341</v>
      </c>
      <c r="F130" s="135">
        <v>1</v>
      </c>
      <c r="G130" s="135"/>
      <c r="H130" s="136" t="s">
        <v>42</v>
      </c>
      <c r="I130" s="136" t="s">
        <v>42</v>
      </c>
      <c r="J130" s="44">
        <v>918.56</v>
      </c>
      <c r="K130" s="330"/>
      <c r="L130" s="33">
        <f t="shared" ref="L130:L150" si="82">SUM(J130:K130)</f>
        <v>918.56</v>
      </c>
      <c r="M130" s="33"/>
      <c r="N130" s="44">
        <v>600</v>
      </c>
      <c r="O130" s="330"/>
      <c r="P130" s="33">
        <f t="shared" si="81"/>
        <v>600</v>
      </c>
      <c r="Q130" s="33">
        <f>500+100</f>
        <v>600</v>
      </c>
      <c r="R130" s="317"/>
      <c r="S130" s="33"/>
      <c r="T130" s="33">
        <f t="shared" ref="T130:T150" si="83">SUM(Q130:S130)</f>
        <v>600</v>
      </c>
      <c r="U130" s="33">
        <f t="shared" ref="U130:U150" si="84">J130-Q130-S130</f>
        <v>318.55999999999995</v>
      </c>
      <c r="V130" s="33">
        <f t="shared" ref="V130:V150" si="85">K130-R130</f>
        <v>0</v>
      </c>
      <c r="W130" s="33">
        <f t="shared" ref="W130:W187" si="86">SUM(U130:V130)</f>
        <v>318.55999999999995</v>
      </c>
      <c r="X130" s="33">
        <f t="shared" ref="X130:X150" si="87">N130-Q130-S130</f>
        <v>0</v>
      </c>
      <c r="Y130" s="33">
        <f t="shared" ref="Y130:Y150" si="88">O130-R130</f>
        <v>0</v>
      </c>
      <c r="Z130" s="33">
        <f t="shared" ref="Z130:Z187" si="89">SUM(X130:Y130)</f>
        <v>0</v>
      </c>
      <c r="AA130" s="33"/>
      <c r="AB130" s="33">
        <v>100</v>
      </c>
      <c r="AC130" s="34">
        <f t="shared" si="61"/>
        <v>100</v>
      </c>
      <c r="AD130" s="317"/>
      <c r="AE130" s="34">
        <f t="shared" si="62"/>
        <v>100</v>
      </c>
      <c r="AF130" s="34"/>
      <c r="AG130" s="88"/>
      <c r="AH130" s="46"/>
    </row>
    <row r="131" spans="1:34" ht="46.5" hidden="1">
      <c r="A131" s="28">
        <v>2</v>
      </c>
      <c r="B131" s="29" t="s">
        <v>342</v>
      </c>
      <c r="C131" s="29" t="s">
        <v>343</v>
      </c>
      <c r="D131" s="29" t="s">
        <v>344</v>
      </c>
      <c r="E131" s="30" t="s">
        <v>345</v>
      </c>
      <c r="F131" s="135">
        <v>1</v>
      </c>
      <c r="G131" s="135"/>
      <c r="H131" s="43" t="s">
        <v>46</v>
      </c>
      <c r="I131" s="43" t="s">
        <v>46</v>
      </c>
      <c r="J131" s="78">
        <v>2000</v>
      </c>
      <c r="K131" s="331"/>
      <c r="L131" s="33">
        <f t="shared" si="82"/>
        <v>2000</v>
      </c>
      <c r="M131" s="33"/>
      <c r="N131" s="78">
        <v>400</v>
      </c>
      <c r="O131" s="331"/>
      <c r="P131" s="33">
        <f t="shared" si="81"/>
        <v>400</v>
      </c>
      <c r="Q131" s="33">
        <f>300+100</f>
        <v>400</v>
      </c>
      <c r="R131" s="317"/>
      <c r="S131" s="33"/>
      <c r="T131" s="33">
        <f t="shared" si="83"/>
        <v>400</v>
      </c>
      <c r="U131" s="33">
        <f t="shared" si="84"/>
        <v>1600</v>
      </c>
      <c r="V131" s="33">
        <f t="shared" si="85"/>
        <v>0</v>
      </c>
      <c r="W131" s="33">
        <f t="shared" si="86"/>
        <v>1600</v>
      </c>
      <c r="X131" s="33">
        <f t="shared" si="87"/>
        <v>0</v>
      </c>
      <c r="Y131" s="33">
        <f t="shared" si="88"/>
        <v>0</v>
      </c>
      <c r="Z131" s="33">
        <f t="shared" si="89"/>
        <v>0</v>
      </c>
      <c r="AA131" s="33"/>
      <c r="AB131" s="33">
        <v>100</v>
      </c>
      <c r="AC131" s="34">
        <f t="shared" si="61"/>
        <v>100</v>
      </c>
      <c r="AD131" s="317"/>
      <c r="AE131" s="34">
        <f t="shared" si="62"/>
        <v>100</v>
      </c>
      <c r="AF131" s="34"/>
      <c r="AG131" s="88"/>
      <c r="AH131" s="46"/>
    </row>
    <row r="132" spans="1:34" ht="46.5" hidden="1">
      <c r="A132" s="28">
        <v>3</v>
      </c>
      <c r="B132" s="29" t="s">
        <v>231</v>
      </c>
      <c r="C132" s="29" t="s">
        <v>346</v>
      </c>
      <c r="D132" s="29" t="s">
        <v>261</v>
      </c>
      <c r="E132" s="48" t="s">
        <v>347</v>
      </c>
      <c r="F132" s="135">
        <v>1</v>
      </c>
      <c r="G132" s="135"/>
      <c r="H132" s="43" t="s">
        <v>46</v>
      </c>
      <c r="I132" s="43" t="s">
        <v>46</v>
      </c>
      <c r="J132" s="89">
        <v>988</v>
      </c>
      <c r="K132" s="317"/>
      <c r="L132" s="33">
        <f t="shared" si="82"/>
        <v>988</v>
      </c>
      <c r="M132" s="33"/>
      <c r="N132" s="89">
        <v>650</v>
      </c>
      <c r="O132" s="317"/>
      <c r="P132" s="33">
        <f>N132+O132</f>
        <v>650</v>
      </c>
      <c r="Q132" s="33">
        <f>400+250</f>
        <v>650</v>
      </c>
      <c r="R132" s="323"/>
      <c r="S132" s="69"/>
      <c r="T132" s="33">
        <f t="shared" si="83"/>
        <v>650</v>
      </c>
      <c r="U132" s="33">
        <f t="shared" si="84"/>
        <v>338</v>
      </c>
      <c r="V132" s="33">
        <f t="shared" si="85"/>
        <v>0</v>
      </c>
      <c r="W132" s="33">
        <f t="shared" si="86"/>
        <v>338</v>
      </c>
      <c r="X132" s="33">
        <f t="shared" si="87"/>
        <v>0</v>
      </c>
      <c r="Y132" s="33">
        <f t="shared" si="88"/>
        <v>0</v>
      </c>
      <c r="Z132" s="33">
        <f t="shared" si="89"/>
        <v>0</v>
      </c>
      <c r="AA132" s="33"/>
      <c r="AB132" s="33">
        <v>100</v>
      </c>
      <c r="AC132" s="34">
        <f t="shared" si="61"/>
        <v>100</v>
      </c>
      <c r="AD132" s="317"/>
      <c r="AE132" s="34">
        <f t="shared" si="62"/>
        <v>100</v>
      </c>
      <c r="AF132" s="34"/>
      <c r="AG132" s="88"/>
      <c r="AH132" s="46"/>
    </row>
    <row r="133" spans="1:34" ht="23.25" hidden="1">
      <c r="A133" s="28">
        <v>4</v>
      </c>
      <c r="B133" s="29" t="s">
        <v>283</v>
      </c>
      <c r="C133" s="29" t="s">
        <v>348</v>
      </c>
      <c r="D133" s="29" t="s">
        <v>40</v>
      </c>
      <c r="E133" s="48" t="s">
        <v>349</v>
      </c>
      <c r="F133" s="135">
        <v>1</v>
      </c>
      <c r="G133" s="135"/>
      <c r="H133" s="43" t="s">
        <v>171</v>
      </c>
      <c r="I133" s="43" t="s">
        <v>171</v>
      </c>
      <c r="J133" s="89">
        <v>700</v>
      </c>
      <c r="K133" s="317"/>
      <c r="L133" s="33">
        <f t="shared" si="82"/>
        <v>700</v>
      </c>
      <c r="M133" s="33"/>
      <c r="N133" s="89">
        <v>700</v>
      </c>
      <c r="O133" s="317"/>
      <c r="P133" s="33">
        <f>N133+O133</f>
        <v>700</v>
      </c>
      <c r="Q133" s="33">
        <v>600</v>
      </c>
      <c r="R133" s="323"/>
      <c r="S133" s="69"/>
      <c r="T133" s="33">
        <f t="shared" si="83"/>
        <v>600</v>
      </c>
      <c r="U133" s="33"/>
      <c r="V133" s="33"/>
      <c r="W133" s="33"/>
      <c r="X133" s="33"/>
      <c r="Y133" s="33"/>
      <c r="Z133" s="33"/>
      <c r="AA133" s="33">
        <v>100</v>
      </c>
      <c r="AB133" s="33"/>
      <c r="AC133" s="34">
        <f t="shared" si="61"/>
        <v>100</v>
      </c>
      <c r="AD133" s="317"/>
      <c r="AE133" s="34">
        <f t="shared" si="62"/>
        <v>100</v>
      </c>
      <c r="AF133" s="34"/>
      <c r="AG133" s="88"/>
      <c r="AH133" s="46"/>
    </row>
    <row r="134" spans="1:34" ht="23.25" hidden="1">
      <c r="A134" s="28">
        <v>5</v>
      </c>
      <c r="B134" s="29" t="s">
        <v>350</v>
      </c>
      <c r="C134" s="29" t="s">
        <v>351</v>
      </c>
      <c r="D134" s="29" t="s">
        <v>352</v>
      </c>
      <c r="E134" s="75" t="s">
        <v>353</v>
      </c>
      <c r="F134" s="135">
        <v>1</v>
      </c>
      <c r="G134" s="135"/>
      <c r="H134" s="138" t="s">
        <v>49</v>
      </c>
      <c r="I134" s="138" t="s">
        <v>49</v>
      </c>
      <c r="J134" s="78">
        <v>412</v>
      </c>
      <c r="K134" s="331"/>
      <c r="L134" s="33">
        <f t="shared" si="82"/>
        <v>412</v>
      </c>
      <c r="M134" s="33"/>
      <c r="N134" s="78">
        <v>300</v>
      </c>
      <c r="O134" s="331"/>
      <c r="P134" s="33">
        <f>N134+O134</f>
        <v>300</v>
      </c>
      <c r="Q134" s="33">
        <f>200+100</f>
        <v>300</v>
      </c>
      <c r="R134" s="317"/>
      <c r="S134" s="33"/>
      <c r="T134" s="33">
        <f t="shared" si="83"/>
        <v>300</v>
      </c>
      <c r="U134" s="33">
        <f t="shared" si="84"/>
        <v>112</v>
      </c>
      <c r="V134" s="33">
        <f t="shared" si="85"/>
        <v>0</v>
      </c>
      <c r="W134" s="33">
        <f t="shared" si="86"/>
        <v>112</v>
      </c>
      <c r="X134" s="33">
        <f t="shared" si="87"/>
        <v>0</v>
      </c>
      <c r="Y134" s="33">
        <f t="shared" si="88"/>
        <v>0</v>
      </c>
      <c r="Z134" s="33">
        <f t="shared" si="89"/>
        <v>0</v>
      </c>
      <c r="AA134" s="33"/>
      <c r="AB134" s="33">
        <v>112</v>
      </c>
      <c r="AC134" s="34">
        <f t="shared" si="61"/>
        <v>112</v>
      </c>
      <c r="AD134" s="317"/>
      <c r="AE134" s="34">
        <f t="shared" si="62"/>
        <v>112</v>
      </c>
      <c r="AF134" s="34"/>
      <c r="AG134" s="88"/>
      <c r="AH134" s="46"/>
    </row>
    <row r="135" spans="1:34" ht="23.25" hidden="1">
      <c r="A135" s="28">
        <v>6</v>
      </c>
      <c r="B135" s="29" t="s">
        <v>354</v>
      </c>
      <c r="C135" s="29" t="s">
        <v>355</v>
      </c>
      <c r="D135" s="29" t="s">
        <v>344</v>
      </c>
      <c r="E135" s="47" t="s">
        <v>356</v>
      </c>
      <c r="F135" s="135">
        <v>1</v>
      </c>
      <c r="G135" s="135"/>
      <c r="H135" s="43" t="s">
        <v>46</v>
      </c>
      <c r="I135" s="43" t="s">
        <v>46</v>
      </c>
      <c r="J135" s="44">
        <v>600</v>
      </c>
      <c r="K135" s="330"/>
      <c r="L135" s="33">
        <f t="shared" si="82"/>
        <v>600</v>
      </c>
      <c r="M135" s="33"/>
      <c r="N135" s="44">
        <v>400</v>
      </c>
      <c r="O135" s="330"/>
      <c r="P135" s="33">
        <f t="shared" ref="P135:P143" si="90">SUM(N135:O135)</f>
        <v>400</v>
      </c>
      <c r="Q135" s="33">
        <f>300+100</f>
        <v>400</v>
      </c>
      <c r="R135" s="317"/>
      <c r="S135" s="33"/>
      <c r="T135" s="33">
        <f t="shared" si="83"/>
        <v>400</v>
      </c>
      <c r="U135" s="33">
        <f t="shared" si="84"/>
        <v>200</v>
      </c>
      <c r="V135" s="33">
        <f t="shared" si="85"/>
        <v>0</v>
      </c>
      <c r="W135" s="33">
        <f t="shared" si="86"/>
        <v>200</v>
      </c>
      <c r="X135" s="33">
        <f t="shared" si="87"/>
        <v>0</v>
      </c>
      <c r="Y135" s="33">
        <f t="shared" si="88"/>
        <v>0</v>
      </c>
      <c r="Z135" s="33">
        <f t="shared" si="89"/>
        <v>0</v>
      </c>
      <c r="AA135" s="33"/>
      <c r="AB135" s="33">
        <v>100</v>
      </c>
      <c r="AC135" s="34">
        <f t="shared" si="61"/>
        <v>100</v>
      </c>
      <c r="AD135" s="317"/>
      <c r="AE135" s="34">
        <f t="shared" si="62"/>
        <v>100</v>
      </c>
      <c r="AF135" s="34"/>
      <c r="AG135" s="88"/>
      <c r="AH135" s="46"/>
    </row>
    <row r="136" spans="1:34" ht="23.25" hidden="1">
      <c r="A136" s="28">
        <v>7</v>
      </c>
      <c r="B136" s="29" t="s">
        <v>357</v>
      </c>
      <c r="C136" s="29" t="s">
        <v>358</v>
      </c>
      <c r="D136" s="29" t="s">
        <v>344</v>
      </c>
      <c r="E136" s="75" t="s">
        <v>359</v>
      </c>
      <c r="F136" s="135">
        <v>1</v>
      </c>
      <c r="G136" s="135"/>
      <c r="H136" s="43" t="s">
        <v>46</v>
      </c>
      <c r="I136" s="43" t="s">
        <v>46</v>
      </c>
      <c r="J136" s="78">
        <v>816</v>
      </c>
      <c r="K136" s="331"/>
      <c r="L136" s="33">
        <f t="shared" si="82"/>
        <v>816</v>
      </c>
      <c r="M136" s="33"/>
      <c r="N136" s="78">
        <v>400</v>
      </c>
      <c r="O136" s="331"/>
      <c r="P136" s="33">
        <f t="shared" si="90"/>
        <v>400</v>
      </c>
      <c r="Q136" s="33">
        <f>300+100</f>
        <v>400</v>
      </c>
      <c r="R136" s="317"/>
      <c r="S136" s="33"/>
      <c r="T136" s="33">
        <f t="shared" si="83"/>
        <v>400</v>
      </c>
      <c r="U136" s="33">
        <f t="shared" si="84"/>
        <v>416</v>
      </c>
      <c r="V136" s="33">
        <f t="shared" si="85"/>
        <v>0</v>
      </c>
      <c r="W136" s="33">
        <f t="shared" si="86"/>
        <v>416</v>
      </c>
      <c r="X136" s="33">
        <f t="shared" si="87"/>
        <v>0</v>
      </c>
      <c r="Y136" s="33">
        <f t="shared" si="88"/>
        <v>0</v>
      </c>
      <c r="Z136" s="33">
        <f t="shared" si="89"/>
        <v>0</v>
      </c>
      <c r="AA136" s="33"/>
      <c r="AB136" s="33">
        <v>100</v>
      </c>
      <c r="AC136" s="34">
        <f t="shared" si="61"/>
        <v>100</v>
      </c>
      <c r="AD136" s="317"/>
      <c r="AE136" s="34">
        <f t="shared" si="62"/>
        <v>100</v>
      </c>
      <c r="AF136" s="34"/>
      <c r="AG136" s="88"/>
      <c r="AH136" s="46"/>
    </row>
    <row r="137" spans="1:34" ht="23.25" hidden="1">
      <c r="A137" s="28">
        <v>8</v>
      </c>
      <c r="B137" s="29" t="s">
        <v>299</v>
      </c>
      <c r="C137" s="29" t="s">
        <v>360</v>
      </c>
      <c r="D137" s="29" t="s">
        <v>344</v>
      </c>
      <c r="E137" s="75" t="s">
        <v>361</v>
      </c>
      <c r="F137" s="135">
        <v>1</v>
      </c>
      <c r="G137" s="135"/>
      <c r="H137" s="43" t="s">
        <v>46</v>
      </c>
      <c r="I137" s="43" t="s">
        <v>46</v>
      </c>
      <c r="J137" s="78">
        <v>1000</v>
      </c>
      <c r="K137" s="331"/>
      <c r="L137" s="33">
        <f t="shared" si="82"/>
        <v>1000</v>
      </c>
      <c r="M137" s="33"/>
      <c r="N137" s="78">
        <v>450</v>
      </c>
      <c r="O137" s="331"/>
      <c r="P137" s="33">
        <f t="shared" si="90"/>
        <v>450</v>
      </c>
      <c r="Q137" s="33">
        <f>350+100</f>
        <v>450</v>
      </c>
      <c r="R137" s="317"/>
      <c r="S137" s="33"/>
      <c r="T137" s="33">
        <f t="shared" si="83"/>
        <v>450</v>
      </c>
      <c r="U137" s="33">
        <f t="shared" si="84"/>
        <v>550</v>
      </c>
      <c r="V137" s="33">
        <f t="shared" si="85"/>
        <v>0</v>
      </c>
      <c r="W137" s="33">
        <f t="shared" si="86"/>
        <v>550</v>
      </c>
      <c r="X137" s="33">
        <f t="shared" si="87"/>
        <v>0</v>
      </c>
      <c r="Y137" s="33">
        <f t="shared" si="88"/>
        <v>0</v>
      </c>
      <c r="Z137" s="33">
        <f t="shared" si="89"/>
        <v>0</v>
      </c>
      <c r="AA137" s="33">
        <v>100</v>
      </c>
      <c r="AB137" s="33">
        <v>100</v>
      </c>
      <c r="AC137" s="34">
        <f t="shared" si="61"/>
        <v>200</v>
      </c>
      <c r="AD137" s="317"/>
      <c r="AE137" s="34">
        <f t="shared" si="62"/>
        <v>200</v>
      </c>
      <c r="AF137" s="34"/>
      <c r="AG137" s="88"/>
      <c r="AH137" s="46"/>
    </row>
    <row r="138" spans="1:34" ht="23.25" hidden="1">
      <c r="A138" s="28">
        <v>9</v>
      </c>
      <c r="B138" s="29" t="s">
        <v>362</v>
      </c>
      <c r="C138" s="29" t="s">
        <v>363</v>
      </c>
      <c r="D138" s="29" t="s">
        <v>254</v>
      </c>
      <c r="E138" s="30" t="s">
        <v>364</v>
      </c>
      <c r="F138" s="135">
        <v>1</v>
      </c>
      <c r="G138" s="135"/>
      <c r="H138" s="136" t="s">
        <v>42</v>
      </c>
      <c r="I138" s="136" t="s">
        <v>42</v>
      </c>
      <c r="J138" s="44">
        <v>2500</v>
      </c>
      <c r="K138" s="330"/>
      <c r="L138" s="33">
        <f t="shared" si="82"/>
        <v>2500</v>
      </c>
      <c r="M138" s="33"/>
      <c r="N138" s="44">
        <v>550</v>
      </c>
      <c r="O138" s="330"/>
      <c r="P138" s="33">
        <f t="shared" si="90"/>
        <v>550</v>
      </c>
      <c r="Q138" s="33">
        <f>450+100</f>
        <v>550</v>
      </c>
      <c r="R138" s="317"/>
      <c r="S138" s="33"/>
      <c r="T138" s="33">
        <f t="shared" si="83"/>
        <v>550</v>
      </c>
      <c r="U138" s="33">
        <f t="shared" si="84"/>
        <v>1950</v>
      </c>
      <c r="V138" s="33">
        <f t="shared" si="85"/>
        <v>0</v>
      </c>
      <c r="W138" s="33">
        <f t="shared" si="86"/>
        <v>1950</v>
      </c>
      <c r="X138" s="33">
        <f t="shared" si="87"/>
        <v>0</v>
      </c>
      <c r="Y138" s="33">
        <f t="shared" si="88"/>
        <v>0</v>
      </c>
      <c r="Z138" s="33">
        <f t="shared" si="89"/>
        <v>0</v>
      </c>
      <c r="AA138" s="33"/>
      <c r="AB138" s="33">
        <v>100</v>
      </c>
      <c r="AC138" s="34">
        <f t="shared" si="61"/>
        <v>100</v>
      </c>
      <c r="AD138" s="317"/>
      <c r="AE138" s="34">
        <f t="shared" si="62"/>
        <v>100</v>
      </c>
      <c r="AF138" s="34"/>
      <c r="AG138" s="88"/>
      <c r="AH138" s="46"/>
    </row>
    <row r="139" spans="1:34" ht="23.25" hidden="1">
      <c r="A139" s="28">
        <v>10</v>
      </c>
      <c r="B139" s="29" t="s">
        <v>166</v>
      </c>
      <c r="C139" s="29" t="s">
        <v>365</v>
      </c>
      <c r="D139" s="29" t="s">
        <v>40</v>
      </c>
      <c r="E139" s="47" t="s">
        <v>366</v>
      </c>
      <c r="F139" s="135">
        <v>1</v>
      </c>
      <c r="G139" s="135"/>
      <c r="H139" s="136" t="s">
        <v>79</v>
      </c>
      <c r="I139" s="136" t="s">
        <v>79</v>
      </c>
      <c r="J139" s="137">
        <v>1000</v>
      </c>
      <c r="K139" s="330"/>
      <c r="L139" s="33">
        <f t="shared" si="82"/>
        <v>1000</v>
      </c>
      <c r="M139" s="33"/>
      <c r="N139" s="137">
        <v>690</v>
      </c>
      <c r="O139" s="330"/>
      <c r="P139" s="33">
        <f t="shared" si="90"/>
        <v>690</v>
      </c>
      <c r="Q139" s="33">
        <f>590+100</f>
        <v>690</v>
      </c>
      <c r="R139" s="317"/>
      <c r="S139" s="33"/>
      <c r="T139" s="33">
        <f t="shared" si="83"/>
        <v>690</v>
      </c>
      <c r="U139" s="33">
        <f t="shared" si="84"/>
        <v>310</v>
      </c>
      <c r="V139" s="33">
        <f t="shared" si="85"/>
        <v>0</v>
      </c>
      <c r="W139" s="33">
        <f t="shared" si="86"/>
        <v>310</v>
      </c>
      <c r="X139" s="33">
        <f t="shared" si="87"/>
        <v>0</v>
      </c>
      <c r="Y139" s="33">
        <f t="shared" si="88"/>
        <v>0</v>
      </c>
      <c r="Z139" s="33">
        <f t="shared" si="89"/>
        <v>0</v>
      </c>
      <c r="AA139" s="33"/>
      <c r="AB139" s="33">
        <v>100</v>
      </c>
      <c r="AC139" s="34">
        <f t="shared" si="61"/>
        <v>100</v>
      </c>
      <c r="AD139" s="317"/>
      <c r="AE139" s="34">
        <f t="shared" si="62"/>
        <v>100</v>
      </c>
      <c r="AF139" s="34"/>
      <c r="AG139" s="88"/>
      <c r="AH139" s="46"/>
    </row>
    <row r="140" spans="1:34" ht="23.25" hidden="1">
      <c r="A140" s="28">
        <v>11</v>
      </c>
      <c r="B140" s="29" t="s">
        <v>367</v>
      </c>
      <c r="C140" s="29" t="s">
        <v>368</v>
      </c>
      <c r="D140" s="29" t="s">
        <v>40</v>
      </c>
      <c r="E140" s="47" t="s">
        <v>369</v>
      </c>
      <c r="F140" s="135">
        <v>1</v>
      </c>
      <c r="G140" s="135"/>
      <c r="H140" s="43" t="s">
        <v>42</v>
      </c>
      <c r="I140" s="43" t="s">
        <v>42</v>
      </c>
      <c r="J140" s="78">
        <v>993.84999999999991</v>
      </c>
      <c r="K140" s="324"/>
      <c r="L140" s="33">
        <f t="shared" si="82"/>
        <v>993.84999999999991</v>
      </c>
      <c r="M140" s="33"/>
      <c r="N140" s="78">
        <v>747.68</v>
      </c>
      <c r="O140" s="324"/>
      <c r="P140" s="33">
        <f t="shared" si="90"/>
        <v>747.68</v>
      </c>
      <c r="Q140" s="33">
        <f>647.68+100</f>
        <v>747.68</v>
      </c>
      <c r="R140" s="317"/>
      <c r="S140" s="33"/>
      <c r="T140" s="33">
        <f t="shared" si="83"/>
        <v>747.68</v>
      </c>
      <c r="U140" s="33">
        <f t="shared" si="84"/>
        <v>246.16999999999996</v>
      </c>
      <c r="V140" s="33">
        <f t="shared" si="85"/>
        <v>0</v>
      </c>
      <c r="W140" s="33">
        <f t="shared" si="86"/>
        <v>246.16999999999996</v>
      </c>
      <c r="X140" s="33">
        <f t="shared" si="87"/>
        <v>0</v>
      </c>
      <c r="Y140" s="33">
        <f t="shared" si="88"/>
        <v>0</v>
      </c>
      <c r="Z140" s="33">
        <f t="shared" si="89"/>
        <v>0</v>
      </c>
      <c r="AA140" s="33"/>
      <c r="AB140" s="33">
        <v>100</v>
      </c>
      <c r="AC140" s="34">
        <f t="shared" si="61"/>
        <v>100</v>
      </c>
      <c r="AD140" s="317"/>
      <c r="AE140" s="34">
        <f t="shared" si="62"/>
        <v>100</v>
      </c>
      <c r="AF140" s="34"/>
      <c r="AG140" s="88"/>
      <c r="AH140" s="46"/>
    </row>
    <row r="141" spans="1:34" ht="23.25" hidden="1">
      <c r="A141" s="28">
        <v>12</v>
      </c>
      <c r="B141" s="29" t="s">
        <v>89</v>
      </c>
      <c r="C141" s="29" t="s">
        <v>370</v>
      </c>
      <c r="D141" s="29" t="s">
        <v>40</v>
      </c>
      <c r="E141" s="75" t="s">
        <v>371</v>
      </c>
      <c r="F141" s="135">
        <v>1</v>
      </c>
      <c r="G141" s="135"/>
      <c r="H141" s="136" t="s">
        <v>79</v>
      </c>
      <c r="I141" s="136" t="s">
        <v>79</v>
      </c>
      <c r="J141" s="78">
        <v>1600</v>
      </c>
      <c r="K141" s="324"/>
      <c r="L141" s="33">
        <f t="shared" si="82"/>
        <v>1600</v>
      </c>
      <c r="M141" s="33"/>
      <c r="N141" s="78">
        <v>650</v>
      </c>
      <c r="O141" s="324"/>
      <c r="P141" s="33">
        <f t="shared" si="90"/>
        <v>650</v>
      </c>
      <c r="Q141" s="33">
        <f>550+100</f>
        <v>650</v>
      </c>
      <c r="R141" s="317"/>
      <c r="S141" s="33"/>
      <c r="T141" s="33">
        <f t="shared" si="83"/>
        <v>650</v>
      </c>
      <c r="U141" s="33">
        <f t="shared" si="84"/>
        <v>950</v>
      </c>
      <c r="V141" s="33">
        <f t="shared" si="85"/>
        <v>0</v>
      </c>
      <c r="W141" s="33">
        <f t="shared" si="86"/>
        <v>950</v>
      </c>
      <c r="X141" s="33">
        <f t="shared" si="87"/>
        <v>0</v>
      </c>
      <c r="Y141" s="33">
        <f t="shared" si="88"/>
        <v>0</v>
      </c>
      <c r="Z141" s="33">
        <f t="shared" si="89"/>
        <v>0</v>
      </c>
      <c r="AA141" s="33"/>
      <c r="AB141" s="33">
        <v>100</v>
      </c>
      <c r="AC141" s="34">
        <f t="shared" si="61"/>
        <v>100</v>
      </c>
      <c r="AD141" s="317"/>
      <c r="AE141" s="34">
        <f t="shared" si="62"/>
        <v>100</v>
      </c>
      <c r="AF141" s="34"/>
      <c r="AG141" s="83"/>
      <c r="AH141" s="81"/>
    </row>
    <row r="142" spans="1:34" ht="23.25" hidden="1">
      <c r="A142" s="28">
        <v>13</v>
      </c>
      <c r="B142" s="29" t="s">
        <v>166</v>
      </c>
      <c r="C142" s="29" t="s">
        <v>372</v>
      </c>
      <c r="D142" s="29" t="s">
        <v>40</v>
      </c>
      <c r="E142" s="75" t="s">
        <v>373</v>
      </c>
      <c r="F142" s="135">
        <v>1</v>
      </c>
      <c r="G142" s="135"/>
      <c r="H142" s="136" t="s">
        <v>79</v>
      </c>
      <c r="I142" s="136" t="s">
        <v>79</v>
      </c>
      <c r="J142" s="137">
        <v>1000</v>
      </c>
      <c r="K142" s="330"/>
      <c r="L142" s="33">
        <f t="shared" si="82"/>
        <v>1000</v>
      </c>
      <c r="M142" s="33"/>
      <c r="N142" s="137">
        <v>840</v>
      </c>
      <c r="O142" s="330"/>
      <c r="P142" s="33">
        <f t="shared" si="90"/>
        <v>840</v>
      </c>
      <c r="Q142" s="33">
        <f>540+300</f>
        <v>840</v>
      </c>
      <c r="R142" s="317"/>
      <c r="S142" s="33"/>
      <c r="T142" s="33">
        <f t="shared" si="83"/>
        <v>840</v>
      </c>
      <c r="U142" s="33">
        <f t="shared" si="84"/>
        <v>160</v>
      </c>
      <c r="V142" s="33">
        <f t="shared" si="85"/>
        <v>0</v>
      </c>
      <c r="W142" s="33">
        <f t="shared" si="86"/>
        <v>160</v>
      </c>
      <c r="X142" s="33">
        <f t="shared" si="87"/>
        <v>0</v>
      </c>
      <c r="Y142" s="33">
        <f t="shared" si="88"/>
        <v>0</v>
      </c>
      <c r="Z142" s="33">
        <f t="shared" si="89"/>
        <v>0</v>
      </c>
      <c r="AA142" s="33">
        <v>300</v>
      </c>
      <c r="AB142" s="33">
        <v>160</v>
      </c>
      <c r="AC142" s="34">
        <f t="shared" si="61"/>
        <v>460</v>
      </c>
      <c r="AD142" s="317"/>
      <c r="AE142" s="34">
        <f t="shared" si="62"/>
        <v>460</v>
      </c>
      <c r="AF142" s="34"/>
      <c r="AG142" s="88"/>
      <c r="AH142" s="46"/>
    </row>
    <row r="143" spans="1:34" ht="46.5" hidden="1">
      <c r="A143" s="28">
        <v>14</v>
      </c>
      <c r="B143" s="29" t="s">
        <v>166</v>
      </c>
      <c r="C143" s="29" t="s">
        <v>374</v>
      </c>
      <c r="D143" s="29" t="s">
        <v>40</v>
      </c>
      <c r="E143" s="30" t="s">
        <v>375</v>
      </c>
      <c r="F143" s="135">
        <v>1</v>
      </c>
      <c r="G143" s="135"/>
      <c r="H143" s="136" t="s">
        <v>175</v>
      </c>
      <c r="I143" s="136" t="s">
        <v>175</v>
      </c>
      <c r="J143" s="137">
        <v>1000</v>
      </c>
      <c r="K143" s="330"/>
      <c r="L143" s="33">
        <f t="shared" si="82"/>
        <v>1000</v>
      </c>
      <c r="M143" s="33"/>
      <c r="N143" s="137">
        <v>690</v>
      </c>
      <c r="O143" s="330"/>
      <c r="P143" s="33">
        <f t="shared" si="90"/>
        <v>690</v>
      </c>
      <c r="Q143" s="33">
        <f>590+100</f>
        <v>690</v>
      </c>
      <c r="R143" s="317"/>
      <c r="S143" s="33"/>
      <c r="T143" s="33">
        <f t="shared" si="83"/>
        <v>690</v>
      </c>
      <c r="U143" s="33">
        <f t="shared" si="84"/>
        <v>310</v>
      </c>
      <c r="V143" s="33">
        <f t="shared" si="85"/>
        <v>0</v>
      </c>
      <c r="W143" s="33">
        <f t="shared" si="86"/>
        <v>310</v>
      </c>
      <c r="X143" s="33">
        <f t="shared" si="87"/>
        <v>0</v>
      </c>
      <c r="Y143" s="33">
        <f t="shared" si="88"/>
        <v>0</v>
      </c>
      <c r="Z143" s="33">
        <f t="shared" si="89"/>
        <v>0</v>
      </c>
      <c r="AA143" s="33"/>
      <c r="AB143" s="33">
        <v>100</v>
      </c>
      <c r="AC143" s="34">
        <f t="shared" si="61"/>
        <v>100</v>
      </c>
      <c r="AD143" s="317"/>
      <c r="AE143" s="34">
        <f t="shared" si="62"/>
        <v>100</v>
      </c>
      <c r="AF143" s="34"/>
      <c r="AG143" s="88"/>
      <c r="AH143" s="46"/>
    </row>
    <row r="144" spans="1:34" ht="23.25" hidden="1">
      <c r="A144" s="28">
        <v>15</v>
      </c>
      <c r="B144" s="29" t="s">
        <v>166</v>
      </c>
      <c r="C144" s="29" t="s">
        <v>376</v>
      </c>
      <c r="D144" s="29" t="s">
        <v>352</v>
      </c>
      <c r="E144" s="75" t="s">
        <v>377</v>
      </c>
      <c r="F144" s="135">
        <v>1</v>
      </c>
      <c r="G144" s="135"/>
      <c r="H144" s="138" t="s">
        <v>49</v>
      </c>
      <c r="I144" s="138" t="s">
        <v>49</v>
      </c>
      <c r="J144" s="78">
        <v>1000</v>
      </c>
      <c r="K144" s="331"/>
      <c r="L144" s="33">
        <f t="shared" si="82"/>
        <v>1000</v>
      </c>
      <c r="M144" s="33"/>
      <c r="N144" s="78">
        <v>750</v>
      </c>
      <c r="O144" s="331"/>
      <c r="P144" s="33">
        <f>N144+O144</f>
        <v>750</v>
      </c>
      <c r="Q144" s="33">
        <f>550+200</f>
        <v>750</v>
      </c>
      <c r="R144" s="317"/>
      <c r="S144" s="33"/>
      <c r="T144" s="33">
        <f t="shared" si="83"/>
        <v>750</v>
      </c>
      <c r="U144" s="33">
        <f t="shared" si="84"/>
        <v>250</v>
      </c>
      <c r="V144" s="33">
        <f t="shared" si="85"/>
        <v>0</v>
      </c>
      <c r="W144" s="33">
        <f t="shared" si="86"/>
        <v>250</v>
      </c>
      <c r="X144" s="33">
        <f t="shared" si="87"/>
        <v>0</v>
      </c>
      <c r="Y144" s="33">
        <f t="shared" si="88"/>
        <v>0</v>
      </c>
      <c r="Z144" s="33">
        <f t="shared" si="89"/>
        <v>0</v>
      </c>
      <c r="AA144" s="33">
        <v>200</v>
      </c>
      <c r="AB144" s="33">
        <v>100</v>
      </c>
      <c r="AC144" s="34">
        <f t="shared" ref="AC144:AC187" si="91">AA144+AB144</f>
        <v>300</v>
      </c>
      <c r="AD144" s="317"/>
      <c r="AE144" s="34">
        <f t="shared" ref="AE144:AE187" si="92">AC144+AD144</f>
        <v>300</v>
      </c>
      <c r="AF144" s="34"/>
      <c r="AG144" s="139"/>
      <c r="AH144" s="140"/>
    </row>
    <row r="145" spans="1:34" ht="23.25" hidden="1">
      <c r="A145" s="28">
        <v>16</v>
      </c>
      <c r="B145" s="29" t="s">
        <v>378</v>
      </c>
      <c r="C145" s="29" t="s">
        <v>379</v>
      </c>
      <c r="D145" s="29" t="s">
        <v>81</v>
      </c>
      <c r="E145" s="47" t="s">
        <v>380</v>
      </c>
      <c r="F145" s="135">
        <v>1</v>
      </c>
      <c r="G145" s="135"/>
      <c r="H145" s="136" t="s">
        <v>42</v>
      </c>
      <c r="I145" s="136" t="s">
        <v>42</v>
      </c>
      <c r="J145" s="44">
        <v>1785</v>
      </c>
      <c r="K145" s="330"/>
      <c r="L145" s="33">
        <f t="shared" si="82"/>
        <v>1785</v>
      </c>
      <c r="M145" s="33"/>
      <c r="N145" s="44">
        <v>1161.5</v>
      </c>
      <c r="O145" s="330"/>
      <c r="P145" s="33">
        <f>SUM(N145:O145)</f>
        <v>1161.5</v>
      </c>
      <c r="Q145" s="33">
        <f>580+100</f>
        <v>680</v>
      </c>
      <c r="R145" s="317"/>
      <c r="S145" s="33"/>
      <c r="T145" s="33">
        <f t="shared" si="83"/>
        <v>680</v>
      </c>
      <c r="U145" s="33">
        <f t="shared" si="84"/>
        <v>1105</v>
      </c>
      <c r="V145" s="33">
        <f t="shared" si="85"/>
        <v>0</v>
      </c>
      <c r="W145" s="33">
        <f t="shared" si="86"/>
        <v>1105</v>
      </c>
      <c r="X145" s="33">
        <f t="shared" si="87"/>
        <v>481.5</v>
      </c>
      <c r="Y145" s="33">
        <f t="shared" si="88"/>
        <v>0</v>
      </c>
      <c r="Z145" s="33">
        <f t="shared" si="89"/>
        <v>481.5</v>
      </c>
      <c r="AA145" s="33">
        <v>100</v>
      </c>
      <c r="AB145" s="33">
        <v>100</v>
      </c>
      <c r="AC145" s="34">
        <f t="shared" si="91"/>
        <v>200</v>
      </c>
      <c r="AD145" s="317"/>
      <c r="AE145" s="34">
        <f t="shared" si="92"/>
        <v>200</v>
      </c>
      <c r="AF145" s="34"/>
      <c r="AG145" s="88"/>
      <c r="AH145" s="46"/>
    </row>
    <row r="146" spans="1:34" ht="23.25" hidden="1">
      <c r="A146" s="28">
        <v>17</v>
      </c>
      <c r="B146" s="29" t="s">
        <v>190</v>
      </c>
      <c r="C146" s="29" t="s">
        <v>381</v>
      </c>
      <c r="D146" s="29" t="s">
        <v>83</v>
      </c>
      <c r="E146" s="75" t="s">
        <v>382</v>
      </c>
      <c r="F146" s="135">
        <v>1</v>
      </c>
      <c r="G146" s="135"/>
      <c r="H146" s="43" t="s">
        <v>49</v>
      </c>
      <c r="I146" s="43" t="s">
        <v>49</v>
      </c>
      <c r="J146" s="89">
        <v>1748</v>
      </c>
      <c r="K146" s="321"/>
      <c r="L146" s="33">
        <f t="shared" si="82"/>
        <v>1748</v>
      </c>
      <c r="M146" s="33"/>
      <c r="N146" s="89">
        <v>1289.98</v>
      </c>
      <c r="O146" s="321"/>
      <c r="P146" s="33">
        <f>N146+O146</f>
        <v>1289.98</v>
      </c>
      <c r="Q146" s="33">
        <f>400+400</f>
        <v>800</v>
      </c>
      <c r="R146" s="317"/>
      <c r="S146" s="33"/>
      <c r="T146" s="33">
        <f t="shared" si="83"/>
        <v>800</v>
      </c>
      <c r="U146" s="33">
        <f t="shared" si="84"/>
        <v>948</v>
      </c>
      <c r="V146" s="33">
        <f t="shared" si="85"/>
        <v>0</v>
      </c>
      <c r="W146" s="33">
        <f t="shared" si="86"/>
        <v>948</v>
      </c>
      <c r="X146" s="33">
        <f t="shared" si="87"/>
        <v>489.98</v>
      </c>
      <c r="Y146" s="33">
        <f t="shared" si="88"/>
        <v>0</v>
      </c>
      <c r="Z146" s="33">
        <f t="shared" si="89"/>
        <v>489.98</v>
      </c>
      <c r="AA146" s="33">
        <v>400</v>
      </c>
      <c r="AB146" s="33">
        <v>150</v>
      </c>
      <c r="AC146" s="34">
        <f t="shared" si="91"/>
        <v>550</v>
      </c>
      <c r="AD146" s="317"/>
      <c r="AE146" s="34">
        <f t="shared" si="92"/>
        <v>550</v>
      </c>
      <c r="AF146" s="34"/>
      <c r="AG146" s="88"/>
      <c r="AH146" s="46"/>
    </row>
    <row r="147" spans="1:34" ht="46.5" hidden="1">
      <c r="A147" s="28">
        <v>18</v>
      </c>
      <c r="B147" s="29" t="s">
        <v>383</v>
      </c>
      <c r="C147" s="29" t="s">
        <v>384</v>
      </c>
      <c r="D147" s="29" t="s">
        <v>254</v>
      </c>
      <c r="E147" s="48" t="s">
        <v>385</v>
      </c>
      <c r="F147" s="135">
        <v>1</v>
      </c>
      <c r="G147" s="135"/>
      <c r="H147" s="136" t="s">
        <v>42</v>
      </c>
      <c r="I147" s="136" t="s">
        <v>42</v>
      </c>
      <c r="J147" s="44">
        <v>500</v>
      </c>
      <c r="K147" s="330"/>
      <c r="L147" s="33">
        <f t="shared" si="82"/>
        <v>500</v>
      </c>
      <c r="M147" s="33"/>
      <c r="N147" s="44">
        <v>470</v>
      </c>
      <c r="O147" s="330"/>
      <c r="P147" s="33">
        <f>SUM(N147:O147)</f>
        <v>470</v>
      </c>
      <c r="Q147" s="33">
        <f>370+100</f>
        <v>470</v>
      </c>
      <c r="R147" s="317"/>
      <c r="S147" s="33"/>
      <c r="T147" s="33">
        <f t="shared" si="83"/>
        <v>470</v>
      </c>
      <c r="U147" s="33">
        <f t="shared" si="84"/>
        <v>30</v>
      </c>
      <c r="V147" s="33">
        <f t="shared" si="85"/>
        <v>0</v>
      </c>
      <c r="W147" s="33">
        <f t="shared" si="86"/>
        <v>30</v>
      </c>
      <c r="X147" s="33">
        <f t="shared" si="87"/>
        <v>0</v>
      </c>
      <c r="Y147" s="33">
        <f t="shared" si="88"/>
        <v>0</v>
      </c>
      <c r="Z147" s="33">
        <f t="shared" si="89"/>
        <v>0</v>
      </c>
      <c r="AA147" s="33"/>
      <c r="AB147" s="33">
        <v>30</v>
      </c>
      <c r="AC147" s="34">
        <f t="shared" si="91"/>
        <v>30</v>
      </c>
      <c r="AD147" s="317"/>
      <c r="AE147" s="34">
        <f t="shared" si="92"/>
        <v>30</v>
      </c>
      <c r="AF147" s="34"/>
      <c r="AG147" s="88"/>
      <c r="AH147" s="46"/>
    </row>
    <row r="148" spans="1:34" ht="46.5" hidden="1">
      <c r="A148" s="28">
        <v>19</v>
      </c>
      <c r="B148" s="29" t="s">
        <v>386</v>
      </c>
      <c r="C148" s="29" t="s">
        <v>387</v>
      </c>
      <c r="D148" s="29" t="s">
        <v>254</v>
      </c>
      <c r="E148" s="48" t="s">
        <v>388</v>
      </c>
      <c r="F148" s="135">
        <v>1</v>
      </c>
      <c r="G148" s="135"/>
      <c r="H148" s="136" t="s">
        <v>42</v>
      </c>
      <c r="I148" s="136" t="s">
        <v>42</v>
      </c>
      <c r="J148" s="44">
        <v>1131.6300000000001</v>
      </c>
      <c r="K148" s="330"/>
      <c r="L148" s="33">
        <f t="shared" si="82"/>
        <v>1131.6300000000001</v>
      </c>
      <c r="M148" s="33"/>
      <c r="N148" s="44">
        <v>600</v>
      </c>
      <c r="O148" s="330"/>
      <c r="P148" s="33">
        <f>SUM(N148:O148)</f>
        <v>600</v>
      </c>
      <c r="Q148" s="33">
        <f>400+200</f>
        <v>600</v>
      </c>
      <c r="R148" s="317"/>
      <c r="S148" s="33"/>
      <c r="T148" s="33">
        <f t="shared" si="83"/>
        <v>600</v>
      </c>
      <c r="U148" s="33">
        <f t="shared" si="84"/>
        <v>531.63000000000011</v>
      </c>
      <c r="V148" s="33">
        <f t="shared" si="85"/>
        <v>0</v>
      </c>
      <c r="W148" s="33">
        <f t="shared" si="86"/>
        <v>531.63000000000011</v>
      </c>
      <c r="X148" s="33">
        <f t="shared" si="87"/>
        <v>0</v>
      </c>
      <c r="Y148" s="33">
        <f t="shared" si="88"/>
        <v>0</v>
      </c>
      <c r="Z148" s="33">
        <f t="shared" si="89"/>
        <v>0</v>
      </c>
      <c r="AA148" s="33"/>
      <c r="AB148" s="33">
        <v>200</v>
      </c>
      <c r="AC148" s="34">
        <f t="shared" si="91"/>
        <v>200</v>
      </c>
      <c r="AD148" s="317"/>
      <c r="AE148" s="34">
        <f t="shared" si="92"/>
        <v>200</v>
      </c>
      <c r="AF148" s="34"/>
      <c r="AG148" s="88"/>
      <c r="AH148" s="46"/>
    </row>
    <row r="149" spans="1:34" ht="23.25" hidden="1">
      <c r="A149" s="28">
        <v>20</v>
      </c>
      <c r="B149" s="29" t="s">
        <v>389</v>
      </c>
      <c r="C149" s="29" t="s">
        <v>390</v>
      </c>
      <c r="D149" s="29" t="s">
        <v>254</v>
      </c>
      <c r="E149" s="75" t="s">
        <v>391</v>
      </c>
      <c r="F149" s="135">
        <v>1</v>
      </c>
      <c r="G149" s="135"/>
      <c r="H149" s="136" t="s">
        <v>42</v>
      </c>
      <c r="I149" s="136" t="s">
        <v>42</v>
      </c>
      <c r="J149" s="44">
        <v>687.5</v>
      </c>
      <c r="K149" s="330"/>
      <c r="L149" s="33">
        <f>SUM(J149:K149)</f>
        <v>687.5</v>
      </c>
      <c r="M149" s="33"/>
      <c r="N149" s="44">
        <v>600</v>
      </c>
      <c r="O149" s="330"/>
      <c r="P149" s="33">
        <f>SUM(N149:O149)</f>
        <v>600</v>
      </c>
      <c r="Q149" s="33">
        <f>450+150</f>
        <v>600</v>
      </c>
      <c r="R149" s="317"/>
      <c r="S149" s="33"/>
      <c r="T149" s="33">
        <f>SUM(Q149:S149)</f>
        <v>600</v>
      </c>
      <c r="U149" s="33">
        <f>J149-Q149-S149</f>
        <v>87.5</v>
      </c>
      <c r="V149" s="33">
        <f>K149-R149</f>
        <v>0</v>
      </c>
      <c r="W149" s="33">
        <f>SUM(U149:V149)</f>
        <v>87.5</v>
      </c>
      <c r="X149" s="33">
        <f>N149-Q149-S149</f>
        <v>0</v>
      </c>
      <c r="Y149" s="33">
        <f>O149-R149</f>
        <v>0</v>
      </c>
      <c r="Z149" s="33">
        <f>SUM(X149:Y149)</f>
        <v>0</v>
      </c>
      <c r="AA149" s="33">
        <v>150</v>
      </c>
      <c r="AB149" s="33">
        <v>87.5</v>
      </c>
      <c r="AC149" s="34">
        <f t="shared" si="91"/>
        <v>237.5</v>
      </c>
      <c r="AD149" s="317"/>
      <c r="AE149" s="34">
        <f t="shared" si="92"/>
        <v>237.5</v>
      </c>
      <c r="AF149" s="34"/>
      <c r="AG149" s="88"/>
      <c r="AH149" s="46"/>
    </row>
    <row r="150" spans="1:34" ht="46.5" hidden="1">
      <c r="A150" s="28">
        <v>21</v>
      </c>
      <c r="B150" s="29" t="s">
        <v>392</v>
      </c>
      <c r="C150" s="29" t="s">
        <v>393</v>
      </c>
      <c r="D150" s="29" t="s">
        <v>40</v>
      </c>
      <c r="E150" s="30" t="s">
        <v>394</v>
      </c>
      <c r="F150" s="135">
        <v>1</v>
      </c>
      <c r="G150" s="135"/>
      <c r="H150" s="136" t="s">
        <v>395</v>
      </c>
      <c r="I150" s="136" t="s">
        <v>395</v>
      </c>
      <c r="J150" s="44">
        <v>2000</v>
      </c>
      <c r="K150" s="330"/>
      <c r="L150" s="33">
        <f t="shared" si="82"/>
        <v>2000</v>
      </c>
      <c r="M150" s="33"/>
      <c r="N150" s="44">
        <v>250</v>
      </c>
      <c r="O150" s="330"/>
      <c r="P150" s="33">
        <f>SUM(N150:O150)</f>
        <v>250</v>
      </c>
      <c r="Q150" s="33">
        <v>250</v>
      </c>
      <c r="R150" s="317"/>
      <c r="S150" s="33"/>
      <c r="T150" s="33">
        <f t="shared" si="83"/>
        <v>250</v>
      </c>
      <c r="U150" s="33">
        <f t="shared" si="84"/>
        <v>1750</v>
      </c>
      <c r="V150" s="33">
        <f t="shared" si="85"/>
        <v>0</v>
      </c>
      <c r="W150" s="33">
        <f t="shared" si="86"/>
        <v>1750</v>
      </c>
      <c r="X150" s="33">
        <f t="shared" si="87"/>
        <v>0</v>
      </c>
      <c r="Y150" s="33">
        <f t="shared" si="88"/>
        <v>0</v>
      </c>
      <c r="Z150" s="33">
        <f t="shared" si="89"/>
        <v>0</v>
      </c>
      <c r="AA150" s="33"/>
      <c r="AB150" s="33">
        <v>100</v>
      </c>
      <c r="AC150" s="34">
        <f t="shared" si="91"/>
        <v>100</v>
      </c>
      <c r="AD150" s="317"/>
      <c r="AE150" s="34">
        <f t="shared" si="92"/>
        <v>100</v>
      </c>
      <c r="AF150" s="34"/>
      <c r="AG150" s="88"/>
      <c r="AH150" s="46"/>
    </row>
    <row r="151" spans="1:34" ht="33.75" hidden="1">
      <c r="A151" s="105">
        <v>1</v>
      </c>
      <c r="B151" s="77"/>
      <c r="C151" s="77"/>
      <c r="D151" s="77"/>
      <c r="E151" s="126" t="s">
        <v>396</v>
      </c>
      <c r="F151" s="135">
        <v>1</v>
      </c>
      <c r="G151" s="135"/>
      <c r="H151" s="125" t="s">
        <v>35</v>
      </c>
      <c r="I151" s="125" t="s">
        <v>36</v>
      </c>
      <c r="J151" s="32">
        <v>2400</v>
      </c>
      <c r="K151" s="316"/>
      <c r="L151" s="32">
        <f>SUM(J151:K151)</f>
        <v>2400</v>
      </c>
      <c r="M151" s="32"/>
      <c r="N151" s="25"/>
      <c r="O151" s="335"/>
      <c r="P151" s="33">
        <f t="shared" ref="P151:P154" si="93">SUM(N151:O151)</f>
        <v>0</v>
      </c>
      <c r="Q151" s="25"/>
      <c r="R151" s="335"/>
      <c r="S151" s="25"/>
      <c r="T151" s="33">
        <f>SUM(Q151:S151)</f>
        <v>0</v>
      </c>
      <c r="U151" s="25"/>
      <c r="V151" s="25"/>
      <c r="W151" s="33">
        <f>SUM(U151:V151)</f>
        <v>0</v>
      </c>
      <c r="X151" s="25"/>
      <c r="Y151" s="25"/>
      <c r="Z151" s="33">
        <f>SUM(X151:Y151)</f>
        <v>0</v>
      </c>
      <c r="AA151" s="33"/>
      <c r="AB151" s="32">
        <v>400</v>
      </c>
      <c r="AC151" s="34">
        <f t="shared" si="91"/>
        <v>400</v>
      </c>
      <c r="AD151" s="316"/>
      <c r="AE151" s="34">
        <f t="shared" si="92"/>
        <v>400</v>
      </c>
      <c r="AF151" s="34"/>
      <c r="AG151" s="35" t="s">
        <v>37</v>
      </c>
      <c r="AH151" s="36"/>
    </row>
    <row r="152" spans="1:34" ht="33.75" hidden="1">
      <c r="A152" s="105">
        <v>2</v>
      </c>
      <c r="B152" s="77"/>
      <c r="C152" s="77"/>
      <c r="D152" s="77"/>
      <c r="E152" s="126" t="s">
        <v>397</v>
      </c>
      <c r="F152" s="135">
        <v>1</v>
      </c>
      <c r="G152" s="135"/>
      <c r="H152" s="125" t="s">
        <v>35</v>
      </c>
      <c r="I152" s="125" t="s">
        <v>36</v>
      </c>
      <c r="J152" s="32">
        <v>10745.97</v>
      </c>
      <c r="K152" s="316"/>
      <c r="L152" s="32">
        <f>SUM(J152:K152)</f>
        <v>10745.97</v>
      </c>
      <c r="M152" s="32"/>
      <c r="N152" s="25"/>
      <c r="O152" s="335"/>
      <c r="P152" s="33">
        <f t="shared" si="93"/>
        <v>0</v>
      </c>
      <c r="Q152" s="25"/>
      <c r="R152" s="335"/>
      <c r="S152" s="25"/>
      <c r="T152" s="33">
        <f>SUM(Q152:S152)</f>
        <v>0</v>
      </c>
      <c r="U152" s="25"/>
      <c r="V152" s="25"/>
      <c r="W152" s="33">
        <f>SUM(U152:V152)</f>
        <v>0</v>
      </c>
      <c r="X152" s="25"/>
      <c r="Y152" s="25"/>
      <c r="Z152" s="33">
        <f>SUM(X152:Y152)</f>
        <v>0</v>
      </c>
      <c r="AA152" s="33"/>
      <c r="AB152" s="32">
        <v>1000</v>
      </c>
      <c r="AC152" s="34">
        <f>AA152+AB152</f>
        <v>1000</v>
      </c>
      <c r="AD152" s="316"/>
      <c r="AE152" s="34">
        <f>AC152+AD152</f>
        <v>1000</v>
      </c>
      <c r="AF152" s="34"/>
      <c r="AG152" s="35" t="s">
        <v>37</v>
      </c>
      <c r="AH152" s="36"/>
    </row>
    <row r="153" spans="1:34" ht="33.75" hidden="1">
      <c r="A153" s="105">
        <v>3</v>
      </c>
      <c r="B153" s="77"/>
      <c r="C153" s="77"/>
      <c r="D153" s="77"/>
      <c r="E153" s="126" t="s">
        <v>398</v>
      </c>
      <c r="F153" s="93">
        <v>1</v>
      </c>
      <c r="G153" s="93"/>
      <c r="H153" s="125" t="s">
        <v>35</v>
      </c>
      <c r="I153" s="125" t="s">
        <v>36</v>
      </c>
      <c r="J153" s="32">
        <v>685.87</v>
      </c>
      <c r="K153" s="316"/>
      <c r="L153" s="32">
        <f>SUM(J153:K153)</f>
        <v>685.87</v>
      </c>
      <c r="M153" s="32"/>
      <c r="N153" s="25"/>
      <c r="O153" s="335"/>
      <c r="P153" s="33">
        <f t="shared" si="93"/>
        <v>0</v>
      </c>
      <c r="Q153" s="25"/>
      <c r="R153" s="335"/>
      <c r="S153" s="25"/>
      <c r="T153" s="33">
        <f>SUM(Q153:S153)</f>
        <v>0</v>
      </c>
      <c r="U153" s="25"/>
      <c r="V153" s="25"/>
      <c r="W153" s="33">
        <f>SUM(U153:V153)</f>
        <v>0</v>
      </c>
      <c r="X153" s="25"/>
      <c r="Y153" s="25"/>
      <c r="Z153" s="33">
        <f>SUM(X153:Y153)</f>
        <v>0</v>
      </c>
      <c r="AA153" s="33"/>
      <c r="AB153" s="32">
        <v>120</v>
      </c>
      <c r="AC153" s="34">
        <f>AA153+AB153</f>
        <v>120</v>
      </c>
      <c r="AD153" s="316"/>
      <c r="AE153" s="34">
        <f>AC153+AD153</f>
        <v>120</v>
      </c>
      <c r="AF153" s="34"/>
      <c r="AG153" s="35" t="s">
        <v>37</v>
      </c>
      <c r="AH153" s="36"/>
    </row>
    <row r="154" spans="1:34" ht="33.75" hidden="1">
      <c r="A154" s="105">
        <v>4</v>
      </c>
      <c r="B154" s="77"/>
      <c r="C154" s="77"/>
      <c r="D154" s="77"/>
      <c r="E154" s="126" t="s">
        <v>399</v>
      </c>
      <c r="F154" s="135">
        <v>1</v>
      </c>
      <c r="G154" s="135"/>
      <c r="H154" s="125" t="s">
        <v>35</v>
      </c>
      <c r="I154" s="125" t="s">
        <v>36</v>
      </c>
      <c r="J154" s="32">
        <v>536.57000000000005</v>
      </c>
      <c r="K154" s="316"/>
      <c r="L154" s="32">
        <f>SUM(J154:K154)</f>
        <v>536.57000000000005</v>
      </c>
      <c r="M154" s="32"/>
      <c r="N154" s="25"/>
      <c r="O154" s="335"/>
      <c r="P154" s="33">
        <f t="shared" si="93"/>
        <v>0</v>
      </c>
      <c r="Q154" s="25"/>
      <c r="R154" s="335"/>
      <c r="S154" s="25"/>
      <c r="T154" s="33">
        <f>SUM(Q154:S154)</f>
        <v>0</v>
      </c>
      <c r="U154" s="25"/>
      <c r="V154" s="25"/>
      <c r="W154" s="33">
        <f>SUM(U154:V154)</f>
        <v>0</v>
      </c>
      <c r="X154" s="25"/>
      <c r="Y154" s="25"/>
      <c r="Z154" s="33">
        <f>SUM(X154:Y154)</f>
        <v>0</v>
      </c>
      <c r="AA154" s="33"/>
      <c r="AB154" s="32">
        <v>100</v>
      </c>
      <c r="AC154" s="34">
        <f>AA154+AB154</f>
        <v>100</v>
      </c>
      <c r="AD154" s="316"/>
      <c r="AE154" s="34">
        <f>AC154+AD154</f>
        <v>100</v>
      </c>
      <c r="AF154" s="34"/>
      <c r="AG154" s="35" t="s">
        <v>37</v>
      </c>
      <c r="AH154" s="36"/>
    </row>
    <row r="155" spans="1:34" ht="33.75" hidden="1">
      <c r="A155" s="105">
        <v>1</v>
      </c>
      <c r="B155" s="77"/>
      <c r="C155" s="77"/>
      <c r="D155" s="77"/>
      <c r="E155" s="102" t="s">
        <v>400</v>
      </c>
      <c r="F155" s="135">
        <v>1</v>
      </c>
      <c r="G155" s="135"/>
      <c r="H155" s="125" t="s">
        <v>401</v>
      </c>
      <c r="I155" s="125" t="s">
        <v>401</v>
      </c>
      <c r="J155" s="32">
        <v>300</v>
      </c>
      <c r="K155" s="316"/>
      <c r="L155" s="32">
        <f t="shared" ref="L155:L161" si="94">SUM(J155:K155)</f>
        <v>300</v>
      </c>
      <c r="M155" s="32"/>
      <c r="N155" s="25"/>
      <c r="O155" s="335"/>
      <c r="P155" s="33">
        <f t="shared" ref="P155:P161" si="95">SUM(N155:O155)</f>
        <v>0</v>
      </c>
      <c r="Q155" s="25"/>
      <c r="R155" s="335"/>
      <c r="S155" s="25"/>
      <c r="T155" s="33">
        <f t="shared" ref="T155:T161" si="96">SUM(Q155:S155)</f>
        <v>0</v>
      </c>
      <c r="U155" s="25"/>
      <c r="V155" s="25"/>
      <c r="W155" s="33">
        <f t="shared" ref="W155:W161" si="97">SUM(U155:V155)</f>
        <v>0</v>
      </c>
      <c r="X155" s="25"/>
      <c r="Y155" s="25"/>
      <c r="Z155" s="33">
        <f t="shared" ref="Z155:Z161" si="98">SUM(X155:Y155)</f>
        <v>0</v>
      </c>
      <c r="AA155" s="33"/>
      <c r="AB155" s="32">
        <f t="shared" ref="AB155:AB161" si="99">J155</f>
        <v>300</v>
      </c>
      <c r="AC155" s="34">
        <f t="shared" si="91"/>
        <v>300</v>
      </c>
      <c r="AD155" s="316"/>
      <c r="AE155" s="34">
        <f t="shared" si="92"/>
        <v>300</v>
      </c>
      <c r="AF155" s="34"/>
      <c r="AG155" s="35" t="s">
        <v>37</v>
      </c>
      <c r="AH155" s="141"/>
    </row>
    <row r="156" spans="1:34" ht="46.5" hidden="1">
      <c r="A156" s="105">
        <v>2</v>
      </c>
      <c r="B156" s="77"/>
      <c r="C156" s="77"/>
      <c r="D156" s="77"/>
      <c r="E156" s="30" t="s">
        <v>402</v>
      </c>
      <c r="F156" s="135">
        <v>1</v>
      </c>
      <c r="G156" s="135"/>
      <c r="H156" s="125" t="s">
        <v>401</v>
      </c>
      <c r="I156" s="125" t="s">
        <v>401</v>
      </c>
      <c r="J156" s="32">
        <v>100</v>
      </c>
      <c r="K156" s="316"/>
      <c r="L156" s="32">
        <f t="shared" si="94"/>
        <v>100</v>
      </c>
      <c r="M156" s="32"/>
      <c r="N156" s="25"/>
      <c r="O156" s="335"/>
      <c r="P156" s="33">
        <f t="shared" si="95"/>
        <v>0</v>
      </c>
      <c r="Q156" s="25"/>
      <c r="R156" s="335"/>
      <c r="S156" s="25"/>
      <c r="T156" s="33">
        <f t="shared" si="96"/>
        <v>0</v>
      </c>
      <c r="U156" s="25"/>
      <c r="V156" s="25"/>
      <c r="W156" s="33">
        <f t="shared" si="97"/>
        <v>0</v>
      </c>
      <c r="X156" s="25"/>
      <c r="Y156" s="25"/>
      <c r="Z156" s="33">
        <f t="shared" si="98"/>
        <v>0</v>
      </c>
      <c r="AA156" s="33"/>
      <c r="AB156" s="32">
        <f t="shared" si="99"/>
        <v>100</v>
      </c>
      <c r="AC156" s="34">
        <f t="shared" si="91"/>
        <v>100</v>
      </c>
      <c r="AD156" s="316"/>
      <c r="AE156" s="34">
        <f t="shared" si="92"/>
        <v>100</v>
      </c>
      <c r="AF156" s="34"/>
      <c r="AG156" s="35" t="s">
        <v>37</v>
      </c>
      <c r="AH156" s="141"/>
    </row>
    <row r="157" spans="1:34" ht="33.75" hidden="1">
      <c r="A157" s="105">
        <v>3</v>
      </c>
      <c r="B157" s="77"/>
      <c r="C157" s="77"/>
      <c r="D157" s="77"/>
      <c r="E157" s="75" t="s">
        <v>403</v>
      </c>
      <c r="F157" s="135">
        <v>1</v>
      </c>
      <c r="G157" s="135"/>
      <c r="H157" s="125" t="s">
        <v>401</v>
      </c>
      <c r="I157" s="125" t="s">
        <v>401</v>
      </c>
      <c r="J157" s="32">
        <v>150</v>
      </c>
      <c r="K157" s="316"/>
      <c r="L157" s="32">
        <f t="shared" si="94"/>
        <v>150</v>
      </c>
      <c r="M157" s="32"/>
      <c r="N157" s="25"/>
      <c r="O157" s="335"/>
      <c r="P157" s="33">
        <f t="shared" si="95"/>
        <v>0</v>
      </c>
      <c r="Q157" s="25"/>
      <c r="R157" s="335"/>
      <c r="S157" s="25"/>
      <c r="T157" s="33">
        <f t="shared" si="96"/>
        <v>0</v>
      </c>
      <c r="U157" s="25"/>
      <c r="V157" s="25"/>
      <c r="W157" s="33">
        <f t="shared" si="97"/>
        <v>0</v>
      </c>
      <c r="X157" s="25"/>
      <c r="Y157" s="25"/>
      <c r="Z157" s="33">
        <f t="shared" si="98"/>
        <v>0</v>
      </c>
      <c r="AA157" s="33"/>
      <c r="AB157" s="32">
        <f t="shared" si="99"/>
        <v>150</v>
      </c>
      <c r="AC157" s="34">
        <f t="shared" si="91"/>
        <v>150</v>
      </c>
      <c r="AD157" s="316"/>
      <c r="AE157" s="34">
        <f t="shared" si="92"/>
        <v>150</v>
      </c>
      <c r="AF157" s="34"/>
      <c r="AG157" s="35" t="s">
        <v>37</v>
      </c>
      <c r="AH157" s="141"/>
    </row>
    <row r="158" spans="1:34" ht="46.5" hidden="1">
      <c r="A158" s="105">
        <v>4</v>
      </c>
      <c r="B158" s="77"/>
      <c r="C158" s="77"/>
      <c r="D158" s="77"/>
      <c r="E158" s="30" t="s">
        <v>404</v>
      </c>
      <c r="F158" s="135">
        <v>1</v>
      </c>
      <c r="G158" s="135"/>
      <c r="H158" s="125" t="s">
        <v>401</v>
      </c>
      <c r="I158" s="125" t="s">
        <v>401</v>
      </c>
      <c r="J158" s="32">
        <v>100</v>
      </c>
      <c r="K158" s="316"/>
      <c r="L158" s="32">
        <f t="shared" si="94"/>
        <v>100</v>
      </c>
      <c r="M158" s="32"/>
      <c r="N158" s="25"/>
      <c r="O158" s="335"/>
      <c r="P158" s="33">
        <f t="shared" si="95"/>
        <v>0</v>
      </c>
      <c r="Q158" s="25"/>
      <c r="R158" s="335"/>
      <c r="S158" s="25"/>
      <c r="T158" s="33">
        <f t="shared" si="96"/>
        <v>0</v>
      </c>
      <c r="U158" s="25"/>
      <c r="V158" s="25"/>
      <c r="W158" s="33">
        <f t="shared" si="97"/>
        <v>0</v>
      </c>
      <c r="X158" s="25"/>
      <c r="Y158" s="25"/>
      <c r="Z158" s="33">
        <f t="shared" si="98"/>
        <v>0</v>
      </c>
      <c r="AA158" s="33"/>
      <c r="AB158" s="32">
        <f t="shared" si="99"/>
        <v>100</v>
      </c>
      <c r="AC158" s="34">
        <f t="shared" si="91"/>
        <v>100</v>
      </c>
      <c r="AD158" s="316"/>
      <c r="AE158" s="34">
        <f t="shared" si="92"/>
        <v>100</v>
      </c>
      <c r="AF158" s="34"/>
      <c r="AG158" s="35" t="s">
        <v>37</v>
      </c>
      <c r="AH158" s="141"/>
    </row>
    <row r="159" spans="1:34" ht="33.75" hidden="1">
      <c r="A159" s="105">
        <v>5</v>
      </c>
      <c r="B159" s="77"/>
      <c r="C159" s="77"/>
      <c r="D159" s="77"/>
      <c r="E159" s="102" t="s">
        <v>405</v>
      </c>
      <c r="F159" s="135">
        <v>1</v>
      </c>
      <c r="G159" s="135"/>
      <c r="H159" s="125" t="s">
        <v>401</v>
      </c>
      <c r="I159" s="125" t="s">
        <v>401</v>
      </c>
      <c r="J159" s="32">
        <v>100</v>
      </c>
      <c r="K159" s="316"/>
      <c r="L159" s="32">
        <f t="shared" si="94"/>
        <v>100</v>
      </c>
      <c r="M159" s="32"/>
      <c r="N159" s="25"/>
      <c r="O159" s="335"/>
      <c r="P159" s="33">
        <f t="shared" si="95"/>
        <v>0</v>
      </c>
      <c r="Q159" s="25"/>
      <c r="R159" s="335"/>
      <c r="S159" s="25"/>
      <c r="T159" s="33">
        <f t="shared" si="96"/>
        <v>0</v>
      </c>
      <c r="U159" s="25"/>
      <c r="V159" s="25"/>
      <c r="W159" s="33">
        <f t="shared" si="97"/>
        <v>0</v>
      </c>
      <c r="X159" s="25"/>
      <c r="Y159" s="25"/>
      <c r="Z159" s="33">
        <f t="shared" si="98"/>
        <v>0</v>
      </c>
      <c r="AA159" s="33"/>
      <c r="AB159" s="32">
        <f t="shared" si="99"/>
        <v>100</v>
      </c>
      <c r="AC159" s="34">
        <f t="shared" si="91"/>
        <v>100</v>
      </c>
      <c r="AD159" s="316"/>
      <c r="AE159" s="34">
        <f t="shared" si="92"/>
        <v>100</v>
      </c>
      <c r="AF159" s="34"/>
      <c r="AG159" s="35" t="s">
        <v>37</v>
      </c>
      <c r="AH159" s="141"/>
    </row>
    <row r="160" spans="1:34" ht="33.75" hidden="1">
      <c r="A160" s="105">
        <v>6</v>
      </c>
      <c r="B160" s="77"/>
      <c r="C160" s="77"/>
      <c r="D160" s="77"/>
      <c r="E160" s="102" t="s">
        <v>406</v>
      </c>
      <c r="F160" s="135">
        <v>1</v>
      </c>
      <c r="G160" s="135"/>
      <c r="H160" s="125" t="s">
        <v>401</v>
      </c>
      <c r="I160" s="125" t="s">
        <v>401</v>
      </c>
      <c r="J160" s="32">
        <v>50</v>
      </c>
      <c r="K160" s="316"/>
      <c r="L160" s="32">
        <f>SUM(J160:K160)</f>
        <v>50</v>
      </c>
      <c r="M160" s="32"/>
      <c r="N160" s="25"/>
      <c r="O160" s="335"/>
      <c r="P160" s="33">
        <f>SUM(N160:O160)</f>
        <v>0</v>
      </c>
      <c r="Q160" s="25"/>
      <c r="R160" s="335"/>
      <c r="S160" s="25"/>
      <c r="T160" s="33">
        <f>SUM(Q160:S160)</f>
        <v>0</v>
      </c>
      <c r="U160" s="25"/>
      <c r="V160" s="25"/>
      <c r="W160" s="33">
        <f>SUM(U160:V160)</f>
        <v>0</v>
      </c>
      <c r="X160" s="25"/>
      <c r="Y160" s="25"/>
      <c r="Z160" s="33">
        <f>SUM(X160:Y160)</f>
        <v>0</v>
      </c>
      <c r="AA160" s="33"/>
      <c r="AB160" s="32">
        <f t="shared" si="99"/>
        <v>50</v>
      </c>
      <c r="AC160" s="34">
        <f>AA160+AB160</f>
        <v>50</v>
      </c>
      <c r="AD160" s="316"/>
      <c r="AE160" s="34">
        <f>AC160+AD160</f>
        <v>50</v>
      </c>
      <c r="AF160" s="34"/>
      <c r="AG160" s="35" t="s">
        <v>37</v>
      </c>
      <c r="AH160" s="141"/>
    </row>
    <row r="161" spans="1:34" ht="36" hidden="1" customHeight="1">
      <c r="A161" s="105">
        <v>7</v>
      </c>
      <c r="B161" s="77"/>
      <c r="C161" s="77"/>
      <c r="D161" s="77"/>
      <c r="E161" s="102" t="s">
        <v>407</v>
      </c>
      <c r="F161" s="135">
        <v>1</v>
      </c>
      <c r="G161" s="135"/>
      <c r="H161" s="125" t="s">
        <v>401</v>
      </c>
      <c r="I161" s="125" t="s">
        <v>401</v>
      </c>
      <c r="J161" s="32">
        <v>100</v>
      </c>
      <c r="K161" s="316"/>
      <c r="L161" s="32">
        <f t="shared" si="94"/>
        <v>100</v>
      </c>
      <c r="M161" s="32"/>
      <c r="N161" s="25"/>
      <c r="O161" s="335"/>
      <c r="P161" s="33">
        <f t="shared" si="95"/>
        <v>0</v>
      </c>
      <c r="Q161" s="25"/>
      <c r="R161" s="335"/>
      <c r="S161" s="25"/>
      <c r="T161" s="33">
        <f t="shared" si="96"/>
        <v>0</v>
      </c>
      <c r="U161" s="25"/>
      <c r="V161" s="25"/>
      <c r="W161" s="33">
        <f t="shared" si="97"/>
        <v>0</v>
      </c>
      <c r="X161" s="25"/>
      <c r="Y161" s="25"/>
      <c r="Z161" s="33">
        <f t="shared" si="98"/>
        <v>0</v>
      </c>
      <c r="AA161" s="33"/>
      <c r="AB161" s="32">
        <f t="shared" si="99"/>
        <v>100</v>
      </c>
      <c r="AC161" s="34">
        <f t="shared" si="91"/>
        <v>100</v>
      </c>
      <c r="AD161" s="316"/>
      <c r="AE161" s="34">
        <f t="shared" si="92"/>
        <v>100</v>
      </c>
      <c r="AF161" s="34"/>
      <c r="AG161" s="35" t="s">
        <v>37</v>
      </c>
      <c r="AH161" s="141"/>
    </row>
    <row r="162" spans="1:34" ht="33.75" hidden="1">
      <c r="A162" s="108" t="s">
        <v>33</v>
      </c>
      <c r="B162" s="109"/>
      <c r="C162" s="109"/>
      <c r="D162" s="109"/>
      <c r="E162" s="110" t="s">
        <v>32</v>
      </c>
      <c r="F162" s="111">
        <f>SUM(A187)</f>
        <v>22</v>
      </c>
      <c r="G162" s="111"/>
      <c r="H162" s="113"/>
      <c r="I162" s="113"/>
      <c r="J162" s="112">
        <f>SUM(J163:J187)-J175-J176-J177</f>
        <v>88280.2</v>
      </c>
      <c r="K162" s="332">
        <f>SUM(K163:K187)-K175-K176-K177</f>
        <v>0</v>
      </c>
      <c r="L162" s="112">
        <f>SUM(L163:L187)-L175-L176-L177</f>
        <v>88280.2</v>
      </c>
      <c r="M162" s="112"/>
      <c r="N162" s="112">
        <f t="shared" ref="N162:Z162" si="100">SUM(N163:N187)-N175-N176-N177</f>
        <v>88256.089999999982</v>
      </c>
      <c r="O162" s="332">
        <f t="shared" si="100"/>
        <v>0</v>
      </c>
      <c r="P162" s="112">
        <f t="shared" si="100"/>
        <v>88256.089999999982</v>
      </c>
      <c r="Q162" s="112">
        <f t="shared" si="100"/>
        <v>50610.19</v>
      </c>
      <c r="R162" s="332">
        <f t="shared" si="100"/>
        <v>0</v>
      </c>
      <c r="S162" s="112">
        <f t="shared" si="100"/>
        <v>0</v>
      </c>
      <c r="T162" s="112">
        <f t="shared" si="100"/>
        <v>50610.19</v>
      </c>
      <c r="U162" s="112">
        <f t="shared" si="100"/>
        <v>37670.010000000009</v>
      </c>
      <c r="V162" s="112">
        <f t="shared" si="100"/>
        <v>0</v>
      </c>
      <c r="W162" s="112">
        <f t="shared" si="100"/>
        <v>37670.010000000009</v>
      </c>
      <c r="X162" s="112">
        <f t="shared" si="100"/>
        <v>37645.900000000009</v>
      </c>
      <c r="Y162" s="112">
        <f t="shared" si="100"/>
        <v>0</v>
      </c>
      <c r="Z162" s="112">
        <f t="shared" si="100"/>
        <v>37645.900000000009</v>
      </c>
      <c r="AA162" s="112">
        <f>SUM(AA163:AA187)-AA175-AA176-AA177</f>
        <v>605.97</v>
      </c>
      <c r="AB162" s="112">
        <f>SUM(AB163:AB187)-AB175-AB176-AB177</f>
        <v>3973.8199999999993</v>
      </c>
      <c r="AC162" s="112">
        <f>SUM(AC163:AC187)-AC175-AC176-AC177</f>
        <v>4579.7899999999991</v>
      </c>
      <c r="AD162" s="332">
        <f>SUM(AD163:AD187)-AD175-AD176-AD177</f>
        <v>0</v>
      </c>
      <c r="AE162" s="112">
        <f>SUM(AE163:AE187)-AE175-AE176-AE177</f>
        <v>4579.7899999999991</v>
      </c>
      <c r="AF162" s="112"/>
      <c r="AG162" s="142"/>
      <c r="AH162" s="143"/>
    </row>
    <row r="163" spans="1:34" ht="46.5" hidden="1">
      <c r="A163" s="28">
        <v>1</v>
      </c>
      <c r="B163" s="29" t="s">
        <v>378</v>
      </c>
      <c r="C163" s="29" t="s">
        <v>408</v>
      </c>
      <c r="D163" s="29" t="s">
        <v>83</v>
      </c>
      <c r="E163" s="144" t="s">
        <v>409</v>
      </c>
      <c r="F163" s="127">
        <v>1</v>
      </c>
      <c r="G163" s="43"/>
      <c r="H163" s="43" t="s">
        <v>42</v>
      </c>
      <c r="I163" s="43" t="s">
        <v>42</v>
      </c>
      <c r="J163" s="44">
        <v>1768</v>
      </c>
      <c r="K163" s="324"/>
      <c r="L163" s="33">
        <f t="shared" ref="L163:L173" si="101">SUM(J163:K163)</f>
        <v>1768</v>
      </c>
      <c r="M163" s="33"/>
      <c r="N163" s="44">
        <v>1759.32</v>
      </c>
      <c r="O163" s="339"/>
      <c r="P163" s="33">
        <f>SUM(N163:O163)</f>
        <v>1759.32</v>
      </c>
      <c r="Q163" s="33">
        <f>1176.07+300</f>
        <v>1476.07</v>
      </c>
      <c r="R163" s="323"/>
      <c r="S163" s="69"/>
      <c r="T163" s="33">
        <f t="shared" ref="T163:T173" si="102">SUM(Q163:S163)</f>
        <v>1476.07</v>
      </c>
      <c r="U163" s="33">
        <f t="shared" ref="U163:U173" si="103">J163-Q163-S163</f>
        <v>291.93000000000006</v>
      </c>
      <c r="V163" s="33">
        <f t="shared" ref="V163:V173" si="104">K163-R163</f>
        <v>0</v>
      </c>
      <c r="W163" s="33">
        <f t="shared" si="86"/>
        <v>291.93000000000006</v>
      </c>
      <c r="X163" s="33">
        <f t="shared" ref="X163:X173" si="105">N163-Q163-S163</f>
        <v>283.25</v>
      </c>
      <c r="Y163" s="33">
        <f t="shared" ref="Y163:Y173" si="106">O163-R163</f>
        <v>0</v>
      </c>
      <c r="Z163" s="33">
        <f t="shared" si="89"/>
        <v>283.25</v>
      </c>
      <c r="AA163" s="33"/>
      <c r="AB163" s="33">
        <v>283.25</v>
      </c>
      <c r="AC163" s="34">
        <f t="shared" si="91"/>
        <v>283.25</v>
      </c>
      <c r="AD163" s="317"/>
      <c r="AE163" s="34">
        <f t="shared" si="92"/>
        <v>283.25</v>
      </c>
      <c r="AF163" s="34"/>
      <c r="AG163" s="90"/>
      <c r="AH163" s="91"/>
    </row>
    <row r="164" spans="1:34" ht="23.25" hidden="1">
      <c r="A164" s="28">
        <v>2</v>
      </c>
      <c r="B164" s="29" t="s">
        <v>410</v>
      </c>
      <c r="C164" s="29" t="s">
        <v>411</v>
      </c>
      <c r="D164" s="29" t="s">
        <v>83</v>
      </c>
      <c r="E164" s="47" t="s">
        <v>412</v>
      </c>
      <c r="F164" s="127">
        <v>1</v>
      </c>
      <c r="G164" s="43"/>
      <c r="H164" s="43" t="s">
        <v>42</v>
      </c>
      <c r="I164" s="43" t="s">
        <v>42</v>
      </c>
      <c r="J164" s="44">
        <v>4896</v>
      </c>
      <c r="K164" s="324"/>
      <c r="L164" s="33">
        <f t="shared" si="101"/>
        <v>4896</v>
      </c>
      <c r="M164" s="33"/>
      <c r="N164" s="44">
        <v>4896</v>
      </c>
      <c r="O164" s="339"/>
      <c r="P164" s="33">
        <f>SUM(N164:O164)</f>
        <v>4896</v>
      </c>
      <c r="Q164" s="33">
        <f>800+300</f>
        <v>1100</v>
      </c>
      <c r="R164" s="323"/>
      <c r="S164" s="69"/>
      <c r="T164" s="33">
        <f t="shared" si="102"/>
        <v>1100</v>
      </c>
      <c r="U164" s="33">
        <f t="shared" si="103"/>
        <v>3796</v>
      </c>
      <c r="V164" s="33">
        <f t="shared" si="104"/>
        <v>0</v>
      </c>
      <c r="W164" s="33">
        <f t="shared" si="86"/>
        <v>3796</v>
      </c>
      <c r="X164" s="33">
        <f t="shared" si="105"/>
        <v>3796</v>
      </c>
      <c r="Y164" s="33">
        <f t="shared" si="106"/>
        <v>0</v>
      </c>
      <c r="Z164" s="33">
        <f t="shared" si="89"/>
        <v>3796</v>
      </c>
      <c r="AA164" s="33"/>
      <c r="AB164" s="33">
        <v>150</v>
      </c>
      <c r="AC164" s="34">
        <f t="shared" si="91"/>
        <v>150</v>
      </c>
      <c r="AD164" s="317"/>
      <c r="AE164" s="34">
        <f t="shared" si="92"/>
        <v>150</v>
      </c>
      <c r="AF164" s="34"/>
      <c r="AG164" s="90"/>
      <c r="AH164" s="91"/>
    </row>
    <row r="165" spans="1:34" ht="23.25" hidden="1">
      <c r="A165" s="28">
        <v>3</v>
      </c>
      <c r="B165" s="29" t="s">
        <v>89</v>
      </c>
      <c r="C165" s="29" t="s">
        <v>413</v>
      </c>
      <c r="D165" s="29" t="s">
        <v>83</v>
      </c>
      <c r="E165" s="75" t="s">
        <v>414</v>
      </c>
      <c r="F165" s="127">
        <v>1</v>
      </c>
      <c r="G165" s="43"/>
      <c r="H165" s="43" t="s">
        <v>230</v>
      </c>
      <c r="I165" s="43" t="s">
        <v>230</v>
      </c>
      <c r="J165" s="44">
        <v>3499.4</v>
      </c>
      <c r="K165" s="321"/>
      <c r="L165" s="33">
        <f t="shared" si="101"/>
        <v>3499.4</v>
      </c>
      <c r="M165" s="33"/>
      <c r="N165" s="44">
        <v>3499</v>
      </c>
      <c r="O165" s="339"/>
      <c r="P165" s="33">
        <f>SUM(N165:O165)</f>
        <v>3499</v>
      </c>
      <c r="Q165" s="33">
        <f>920+300</f>
        <v>1220</v>
      </c>
      <c r="R165" s="323"/>
      <c r="S165" s="69"/>
      <c r="T165" s="33">
        <f t="shared" si="102"/>
        <v>1220</v>
      </c>
      <c r="U165" s="33">
        <f t="shared" si="103"/>
        <v>2279.4</v>
      </c>
      <c r="V165" s="33">
        <f t="shared" si="104"/>
        <v>0</v>
      </c>
      <c r="W165" s="33">
        <f t="shared" si="86"/>
        <v>2279.4</v>
      </c>
      <c r="X165" s="33">
        <f t="shared" si="105"/>
        <v>2279</v>
      </c>
      <c r="Y165" s="33">
        <f t="shared" si="106"/>
        <v>0</v>
      </c>
      <c r="Z165" s="33">
        <f t="shared" si="89"/>
        <v>2279</v>
      </c>
      <c r="AA165" s="33"/>
      <c r="AB165" s="33">
        <v>150</v>
      </c>
      <c r="AC165" s="34">
        <f t="shared" si="91"/>
        <v>150</v>
      </c>
      <c r="AD165" s="317"/>
      <c r="AE165" s="34">
        <f t="shared" si="92"/>
        <v>150</v>
      </c>
      <c r="AF165" s="34"/>
      <c r="AG165" s="90"/>
      <c r="AH165" s="91"/>
    </row>
    <row r="166" spans="1:34" ht="23.25" hidden="1">
      <c r="A166" s="28">
        <v>4</v>
      </c>
      <c r="B166" s="29" t="s">
        <v>89</v>
      </c>
      <c r="C166" s="29" t="s">
        <v>415</v>
      </c>
      <c r="D166" s="29" t="s">
        <v>83</v>
      </c>
      <c r="E166" s="75" t="s">
        <v>416</v>
      </c>
      <c r="F166" s="127">
        <v>1</v>
      </c>
      <c r="G166" s="70"/>
      <c r="H166" s="70" t="s">
        <v>49</v>
      </c>
      <c r="I166" s="70" t="s">
        <v>49</v>
      </c>
      <c r="J166" s="89">
        <v>4997</v>
      </c>
      <c r="K166" s="320"/>
      <c r="L166" s="33">
        <f t="shared" si="101"/>
        <v>4997</v>
      </c>
      <c r="M166" s="33"/>
      <c r="N166" s="89">
        <v>4997</v>
      </c>
      <c r="O166" s="320"/>
      <c r="P166" s="33">
        <f>N166+O166</f>
        <v>4997</v>
      </c>
      <c r="Q166" s="33">
        <f>688+350</f>
        <v>1038</v>
      </c>
      <c r="R166" s="317"/>
      <c r="S166" s="33"/>
      <c r="T166" s="33">
        <f t="shared" si="102"/>
        <v>1038</v>
      </c>
      <c r="U166" s="33">
        <f t="shared" si="103"/>
        <v>3959</v>
      </c>
      <c r="V166" s="33">
        <f t="shared" si="104"/>
        <v>0</v>
      </c>
      <c r="W166" s="33">
        <f t="shared" si="86"/>
        <v>3959</v>
      </c>
      <c r="X166" s="33">
        <f t="shared" si="105"/>
        <v>3959</v>
      </c>
      <c r="Y166" s="33">
        <f t="shared" si="106"/>
        <v>0</v>
      </c>
      <c r="Z166" s="33">
        <f t="shared" si="89"/>
        <v>3959</v>
      </c>
      <c r="AA166" s="33"/>
      <c r="AB166" s="33">
        <v>200</v>
      </c>
      <c r="AC166" s="34">
        <f t="shared" si="91"/>
        <v>200</v>
      </c>
      <c r="AD166" s="317"/>
      <c r="AE166" s="34">
        <f t="shared" si="92"/>
        <v>200</v>
      </c>
      <c r="AF166" s="34"/>
      <c r="AG166" s="88"/>
      <c r="AH166" s="46"/>
    </row>
    <row r="167" spans="1:34" ht="23.25" hidden="1">
      <c r="A167" s="28">
        <v>5</v>
      </c>
      <c r="B167" s="29" t="s">
        <v>89</v>
      </c>
      <c r="C167" s="29" t="s">
        <v>417</v>
      </c>
      <c r="D167" s="29" t="s">
        <v>83</v>
      </c>
      <c r="E167" s="75" t="s">
        <v>418</v>
      </c>
      <c r="F167" s="127">
        <v>1</v>
      </c>
      <c r="G167" s="43"/>
      <c r="H167" s="43" t="s">
        <v>419</v>
      </c>
      <c r="I167" s="43" t="s">
        <v>419</v>
      </c>
      <c r="J167" s="78">
        <v>4800</v>
      </c>
      <c r="K167" s="324"/>
      <c r="L167" s="33">
        <f t="shared" si="101"/>
        <v>4800</v>
      </c>
      <c r="M167" s="33"/>
      <c r="N167" s="78">
        <v>4799.53</v>
      </c>
      <c r="O167" s="324"/>
      <c r="P167" s="33">
        <f t="shared" ref="P167:P173" si="107">SUM(N167:O167)</f>
        <v>4799.53</v>
      </c>
      <c r="Q167" s="33">
        <f>4108+600</f>
        <v>4708</v>
      </c>
      <c r="R167" s="317"/>
      <c r="S167" s="33"/>
      <c r="T167" s="33">
        <f t="shared" si="102"/>
        <v>4708</v>
      </c>
      <c r="U167" s="33">
        <f t="shared" si="103"/>
        <v>92</v>
      </c>
      <c r="V167" s="33">
        <f t="shared" si="104"/>
        <v>0</v>
      </c>
      <c r="W167" s="33">
        <f t="shared" si="86"/>
        <v>92</v>
      </c>
      <c r="X167" s="33">
        <f t="shared" si="105"/>
        <v>91.529999999999745</v>
      </c>
      <c r="Y167" s="33">
        <f t="shared" si="106"/>
        <v>0</v>
      </c>
      <c r="Z167" s="33">
        <f t="shared" si="89"/>
        <v>91.529999999999745</v>
      </c>
      <c r="AA167" s="33"/>
      <c r="AB167" s="33">
        <v>91.53</v>
      </c>
      <c r="AC167" s="34">
        <f t="shared" si="91"/>
        <v>91.53</v>
      </c>
      <c r="AD167" s="317"/>
      <c r="AE167" s="34">
        <f t="shared" si="92"/>
        <v>91.53</v>
      </c>
      <c r="AF167" s="34"/>
      <c r="AG167" s="88"/>
      <c r="AH167" s="46"/>
    </row>
    <row r="168" spans="1:34" ht="23.25" hidden="1">
      <c r="A168" s="28">
        <v>6</v>
      </c>
      <c r="B168" s="29" t="s">
        <v>189</v>
      </c>
      <c r="C168" s="29" t="s">
        <v>420</v>
      </c>
      <c r="D168" s="29" t="s">
        <v>154</v>
      </c>
      <c r="E168" s="47" t="s">
        <v>421</v>
      </c>
      <c r="F168" s="127">
        <v>1</v>
      </c>
      <c r="G168" s="43"/>
      <c r="H168" s="43" t="s">
        <v>42</v>
      </c>
      <c r="I168" s="43" t="s">
        <v>42</v>
      </c>
      <c r="J168" s="44">
        <v>3290</v>
      </c>
      <c r="K168" s="324"/>
      <c r="L168" s="33">
        <f t="shared" si="101"/>
        <v>3290</v>
      </c>
      <c r="M168" s="33"/>
      <c r="N168" s="44">
        <v>3289.99</v>
      </c>
      <c r="O168" s="339"/>
      <c r="P168" s="33">
        <f t="shared" si="107"/>
        <v>3289.99</v>
      </c>
      <c r="Q168" s="33">
        <f>2240+320.22</f>
        <v>2560.2200000000003</v>
      </c>
      <c r="R168" s="323"/>
      <c r="S168" s="69"/>
      <c r="T168" s="33">
        <f t="shared" si="102"/>
        <v>2560.2200000000003</v>
      </c>
      <c r="U168" s="33">
        <f t="shared" si="103"/>
        <v>729.77999999999975</v>
      </c>
      <c r="V168" s="33">
        <f t="shared" si="104"/>
        <v>0</v>
      </c>
      <c r="W168" s="33">
        <f t="shared" si="86"/>
        <v>729.77999999999975</v>
      </c>
      <c r="X168" s="33">
        <f t="shared" si="105"/>
        <v>729.76999999999953</v>
      </c>
      <c r="Y168" s="33">
        <f t="shared" si="106"/>
        <v>0</v>
      </c>
      <c r="Z168" s="33">
        <f t="shared" si="89"/>
        <v>729.76999999999953</v>
      </c>
      <c r="AA168" s="33"/>
      <c r="AB168" s="33">
        <v>150</v>
      </c>
      <c r="AC168" s="34">
        <f t="shared" si="91"/>
        <v>150</v>
      </c>
      <c r="AD168" s="317"/>
      <c r="AE168" s="34">
        <f t="shared" si="92"/>
        <v>150</v>
      </c>
      <c r="AF168" s="34"/>
      <c r="AG168" s="90"/>
      <c r="AH168" s="91"/>
    </row>
    <row r="169" spans="1:34" ht="23.25" hidden="1">
      <c r="A169" s="28">
        <v>7</v>
      </c>
      <c r="B169" s="29" t="s">
        <v>89</v>
      </c>
      <c r="C169" s="29" t="s">
        <v>422</v>
      </c>
      <c r="D169" s="29" t="s">
        <v>80</v>
      </c>
      <c r="E169" s="75" t="s">
        <v>423</v>
      </c>
      <c r="F169" s="127">
        <v>1</v>
      </c>
      <c r="G169" s="43"/>
      <c r="H169" s="43" t="s">
        <v>42</v>
      </c>
      <c r="I169" s="43" t="s">
        <v>42</v>
      </c>
      <c r="J169" s="44">
        <v>4980</v>
      </c>
      <c r="K169" s="320"/>
      <c r="L169" s="33">
        <f t="shared" si="101"/>
        <v>4980</v>
      </c>
      <c r="M169" s="33"/>
      <c r="N169" s="44">
        <v>4980</v>
      </c>
      <c r="O169" s="339"/>
      <c r="P169" s="33">
        <f t="shared" si="107"/>
        <v>4980</v>
      </c>
      <c r="Q169" s="33">
        <f>2100+300</f>
        <v>2400</v>
      </c>
      <c r="R169" s="323"/>
      <c r="S169" s="69"/>
      <c r="T169" s="33">
        <f t="shared" si="102"/>
        <v>2400</v>
      </c>
      <c r="U169" s="33">
        <f t="shared" si="103"/>
        <v>2580</v>
      </c>
      <c r="V169" s="33">
        <f t="shared" si="104"/>
        <v>0</v>
      </c>
      <c r="W169" s="33">
        <f t="shared" si="86"/>
        <v>2580</v>
      </c>
      <c r="X169" s="33">
        <f t="shared" si="105"/>
        <v>2580</v>
      </c>
      <c r="Y169" s="33">
        <f t="shared" si="106"/>
        <v>0</v>
      </c>
      <c r="Z169" s="33">
        <f t="shared" si="89"/>
        <v>2580</v>
      </c>
      <c r="AA169" s="33"/>
      <c r="AB169" s="33">
        <f>228.75+28.96</f>
        <v>257.70999999999998</v>
      </c>
      <c r="AC169" s="34">
        <f t="shared" si="91"/>
        <v>257.70999999999998</v>
      </c>
      <c r="AD169" s="317"/>
      <c r="AE169" s="34">
        <f t="shared" si="92"/>
        <v>257.70999999999998</v>
      </c>
      <c r="AF169" s="34"/>
      <c r="AG169" s="90"/>
      <c r="AH169" s="91"/>
    </row>
    <row r="170" spans="1:34" ht="23.25" hidden="1">
      <c r="A170" s="28">
        <v>8</v>
      </c>
      <c r="B170" s="29" t="s">
        <v>92</v>
      </c>
      <c r="C170" s="29" t="s">
        <v>424</v>
      </c>
      <c r="D170" s="29" t="s">
        <v>60</v>
      </c>
      <c r="E170" s="75" t="s">
        <v>425</v>
      </c>
      <c r="F170" s="127">
        <v>1</v>
      </c>
      <c r="G170" s="43"/>
      <c r="H170" s="43" t="s">
        <v>419</v>
      </c>
      <c r="I170" s="43" t="s">
        <v>419</v>
      </c>
      <c r="J170" s="44">
        <v>1600</v>
      </c>
      <c r="K170" s="333"/>
      <c r="L170" s="33">
        <f t="shared" si="101"/>
        <v>1600</v>
      </c>
      <c r="M170" s="33"/>
      <c r="N170" s="44">
        <v>1600</v>
      </c>
      <c r="O170" s="339"/>
      <c r="P170" s="33">
        <f t="shared" si="107"/>
        <v>1600</v>
      </c>
      <c r="Q170" s="33">
        <f>1250.58+205.97</f>
        <v>1456.55</v>
      </c>
      <c r="R170" s="323"/>
      <c r="S170" s="69"/>
      <c r="T170" s="33">
        <f t="shared" si="102"/>
        <v>1456.55</v>
      </c>
      <c r="U170" s="33">
        <f t="shared" si="103"/>
        <v>143.45000000000005</v>
      </c>
      <c r="V170" s="33">
        <f t="shared" si="104"/>
        <v>0</v>
      </c>
      <c r="W170" s="33">
        <f t="shared" si="86"/>
        <v>143.45000000000005</v>
      </c>
      <c r="X170" s="33">
        <f t="shared" si="105"/>
        <v>143.45000000000005</v>
      </c>
      <c r="Y170" s="33">
        <f t="shared" si="106"/>
        <v>0</v>
      </c>
      <c r="Z170" s="33">
        <f t="shared" si="89"/>
        <v>143.45000000000005</v>
      </c>
      <c r="AA170" s="33">
        <v>205.97</v>
      </c>
      <c r="AB170" s="33">
        <v>143.44999999999999</v>
      </c>
      <c r="AC170" s="34">
        <f t="shared" si="91"/>
        <v>349.41999999999996</v>
      </c>
      <c r="AD170" s="317"/>
      <c r="AE170" s="34">
        <f t="shared" si="92"/>
        <v>349.41999999999996</v>
      </c>
      <c r="AF170" s="34"/>
      <c r="AG170" s="90"/>
      <c r="AH170" s="91"/>
    </row>
    <row r="171" spans="1:34" ht="46.5" hidden="1">
      <c r="A171" s="28">
        <v>9</v>
      </c>
      <c r="B171" s="29" t="s">
        <v>410</v>
      </c>
      <c r="C171" s="29" t="s">
        <v>426</v>
      </c>
      <c r="D171" s="29" t="s">
        <v>60</v>
      </c>
      <c r="E171" s="48" t="s">
        <v>427</v>
      </c>
      <c r="F171" s="127">
        <v>1</v>
      </c>
      <c r="G171" s="43"/>
      <c r="H171" s="43" t="s">
        <v>42</v>
      </c>
      <c r="I171" s="43" t="s">
        <v>42</v>
      </c>
      <c r="J171" s="44">
        <v>4852</v>
      </c>
      <c r="K171" s="324"/>
      <c r="L171" s="33">
        <f t="shared" si="101"/>
        <v>4852</v>
      </c>
      <c r="M171" s="33"/>
      <c r="N171" s="44">
        <v>4851.3</v>
      </c>
      <c r="O171" s="339"/>
      <c r="P171" s="33">
        <f t="shared" si="107"/>
        <v>4851.3</v>
      </c>
      <c r="Q171" s="33">
        <f>3000+300</f>
        <v>3300</v>
      </c>
      <c r="R171" s="323"/>
      <c r="S171" s="69"/>
      <c r="T171" s="33">
        <f t="shared" si="102"/>
        <v>3300</v>
      </c>
      <c r="U171" s="33">
        <f t="shared" si="103"/>
        <v>1552</v>
      </c>
      <c r="V171" s="33">
        <f t="shared" si="104"/>
        <v>0</v>
      </c>
      <c r="W171" s="33">
        <f t="shared" si="86"/>
        <v>1552</v>
      </c>
      <c r="X171" s="33">
        <f t="shared" si="105"/>
        <v>1551.3000000000002</v>
      </c>
      <c r="Y171" s="33">
        <f t="shared" si="106"/>
        <v>0</v>
      </c>
      <c r="Z171" s="33">
        <f t="shared" si="89"/>
        <v>1551.3000000000002</v>
      </c>
      <c r="AA171" s="33"/>
      <c r="AB171" s="33">
        <v>100</v>
      </c>
      <c r="AC171" s="34">
        <f t="shared" si="91"/>
        <v>100</v>
      </c>
      <c r="AD171" s="317"/>
      <c r="AE171" s="34">
        <f t="shared" si="92"/>
        <v>100</v>
      </c>
      <c r="AF171" s="34"/>
      <c r="AG171" s="90"/>
      <c r="AH171" s="91"/>
    </row>
    <row r="172" spans="1:34" ht="23.25" hidden="1">
      <c r="A172" s="28">
        <v>10</v>
      </c>
      <c r="B172" s="29" t="s">
        <v>428</v>
      </c>
      <c r="C172" s="29" t="s">
        <v>429</v>
      </c>
      <c r="D172" s="29" t="s">
        <v>229</v>
      </c>
      <c r="E172" s="47" t="s">
        <v>430</v>
      </c>
      <c r="F172" s="127">
        <v>1</v>
      </c>
      <c r="G172" s="43"/>
      <c r="H172" s="43" t="s">
        <v>42</v>
      </c>
      <c r="I172" s="43" t="s">
        <v>42</v>
      </c>
      <c r="J172" s="44">
        <v>1300</v>
      </c>
      <c r="K172" s="324"/>
      <c r="L172" s="33">
        <f t="shared" si="101"/>
        <v>1300</v>
      </c>
      <c r="M172" s="33"/>
      <c r="N172" s="44">
        <v>1298.6199999999999</v>
      </c>
      <c r="O172" s="331"/>
      <c r="P172" s="33">
        <f t="shared" si="107"/>
        <v>1298.6199999999999</v>
      </c>
      <c r="Q172" s="33">
        <f>550+300</f>
        <v>850</v>
      </c>
      <c r="R172" s="317"/>
      <c r="S172" s="33"/>
      <c r="T172" s="33">
        <f t="shared" si="102"/>
        <v>850</v>
      </c>
      <c r="U172" s="33">
        <f t="shared" si="103"/>
        <v>450</v>
      </c>
      <c r="V172" s="33">
        <f t="shared" si="104"/>
        <v>0</v>
      </c>
      <c r="W172" s="33">
        <f t="shared" si="86"/>
        <v>450</v>
      </c>
      <c r="X172" s="33">
        <f t="shared" si="105"/>
        <v>448.61999999999989</v>
      </c>
      <c r="Y172" s="33">
        <f t="shared" si="106"/>
        <v>0</v>
      </c>
      <c r="Z172" s="33">
        <f t="shared" si="89"/>
        <v>448.61999999999989</v>
      </c>
      <c r="AA172" s="33"/>
      <c r="AB172" s="33">
        <v>183.07</v>
      </c>
      <c r="AC172" s="34">
        <f t="shared" si="91"/>
        <v>183.07</v>
      </c>
      <c r="AD172" s="317"/>
      <c r="AE172" s="34">
        <f t="shared" si="92"/>
        <v>183.07</v>
      </c>
      <c r="AF172" s="34"/>
      <c r="AG172" s="88"/>
      <c r="AH172" s="46"/>
    </row>
    <row r="173" spans="1:34" ht="23.25" hidden="1">
      <c r="A173" s="28">
        <v>11</v>
      </c>
      <c r="B173" s="29" t="s">
        <v>350</v>
      </c>
      <c r="C173" s="29" t="s">
        <v>431</v>
      </c>
      <c r="D173" s="29" t="s">
        <v>229</v>
      </c>
      <c r="E173" s="30" t="s">
        <v>432</v>
      </c>
      <c r="F173" s="127">
        <v>1</v>
      </c>
      <c r="G173" s="43"/>
      <c r="H173" s="43" t="s">
        <v>46</v>
      </c>
      <c r="I173" s="43" t="s">
        <v>46</v>
      </c>
      <c r="J173" s="89">
        <v>1873</v>
      </c>
      <c r="K173" s="320"/>
      <c r="L173" s="33">
        <f t="shared" si="101"/>
        <v>1873</v>
      </c>
      <c r="M173" s="33"/>
      <c r="N173" s="78">
        <v>1872.89</v>
      </c>
      <c r="O173" s="339"/>
      <c r="P173" s="33">
        <f t="shared" si="107"/>
        <v>1872.89</v>
      </c>
      <c r="Q173" s="33">
        <f>300+400</f>
        <v>700</v>
      </c>
      <c r="R173" s="323"/>
      <c r="S173" s="69"/>
      <c r="T173" s="33">
        <f t="shared" si="102"/>
        <v>700</v>
      </c>
      <c r="U173" s="33">
        <f t="shared" si="103"/>
        <v>1173</v>
      </c>
      <c r="V173" s="33">
        <f t="shared" si="104"/>
        <v>0</v>
      </c>
      <c r="W173" s="33">
        <f t="shared" si="86"/>
        <v>1173</v>
      </c>
      <c r="X173" s="33">
        <f t="shared" si="105"/>
        <v>1172.8900000000001</v>
      </c>
      <c r="Y173" s="33">
        <f t="shared" si="106"/>
        <v>0</v>
      </c>
      <c r="Z173" s="33">
        <f t="shared" si="89"/>
        <v>1172.8900000000001</v>
      </c>
      <c r="AA173" s="33"/>
      <c r="AB173" s="33">
        <v>150</v>
      </c>
      <c r="AC173" s="34">
        <f t="shared" si="91"/>
        <v>150</v>
      </c>
      <c r="AD173" s="317"/>
      <c r="AE173" s="34">
        <f t="shared" si="92"/>
        <v>150</v>
      </c>
      <c r="AF173" s="34"/>
      <c r="AG173" s="90"/>
      <c r="AH173" s="91"/>
    </row>
    <row r="174" spans="1:34" ht="23.25" hidden="1">
      <c r="A174" s="28">
        <v>12</v>
      </c>
      <c r="B174" s="29" t="s">
        <v>299</v>
      </c>
      <c r="C174" s="29" t="s">
        <v>433</v>
      </c>
      <c r="D174" s="29" t="s">
        <v>83</v>
      </c>
      <c r="E174" s="75" t="s">
        <v>434</v>
      </c>
      <c r="F174" s="127">
        <v>1</v>
      </c>
      <c r="G174" s="54"/>
      <c r="H174" s="54" t="s">
        <v>435</v>
      </c>
      <c r="I174" s="54" t="s">
        <v>435</v>
      </c>
      <c r="J174" s="55">
        <f t="shared" ref="J174:S174" si="108">SUM(J175:J177)</f>
        <v>13728.8</v>
      </c>
      <c r="K174" s="318">
        <f t="shared" si="108"/>
        <v>0</v>
      </c>
      <c r="L174" s="55">
        <f t="shared" si="108"/>
        <v>13728.8</v>
      </c>
      <c r="M174" s="55"/>
      <c r="N174" s="55">
        <f t="shared" si="108"/>
        <v>13728.8</v>
      </c>
      <c r="O174" s="318">
        <f t="shared" si="108"/>
        <v>0</v>
      </c>
      <c r="P174" s="33">
        <f t="shared" si="108"/>
        <v>13728.8</v>
      </c>
      <c r="Q174" s="55">
        <f t="shared" si="108"/>
        <v>13213.99</v>
      </c>
      <c r="R174" s="318">
        <f t="shared" si="108"/>
        <v>0</v>
      </c>
      <c r="S174" s="55">
        <f t="shared" si="108"/>
        <v>0</v>
      </c>
      <c r="T174" s="55">
        <f>SUM(Q174:R174)</f>
        <v>13213.99</v>
      </c>
      <c r="U174" s="55">
        <f>SUM(U175:U177)</f>
        <v>514.8100000000004</v>
      </c>
      <c r="V174" s="55">
        <f>SUM(V175:V177)</f>
        <v>0</v>
      </c>
      <c r="W174" s="55">
        <f t="shared" si="86"/>
        <v>514.8100000000004</v>
      </c>
      <c r="X174" s="55">
        <f>SUM(X175:X177)</f>
        <v>514.8100000000004</v>
      </c>
      <c r="Y174" s="55">
        <f>SUM(Y175:Y177)</f>
        <v>0</v>
      </c>
      <c r="Z174" s="55">
        <f t="shared" si="89"/>
        <v>514.8100000000004</v>
      </c>
      <c r="AA174" s="55">
        <f>SUM(AA175:AA177)</f>
        <v>400</v>
      </c>
      <c r="AB174" s="55">
        <f>SUM(AB175:AB177)</f>
        <v>514.80999999999995</v>
      </c>
      <c r="AC174" s="34">
        <f t="shared" si="91"/>
        <v>914.81</v>
      </c>
      <c r="AD174" s="318">
        <f>SUM(AD175:AD177)</f>
        <v>0</v>
      </c>
      <c r="AE174" s="34">
        <f t="shared" si="92"/>
        <v>914.81</v>
      </c>
      <c r="AF174" s="34"/>
      <c r="AG174" s="90"/>
      <c r="AH174" s="91"/>
    </row>
    <row r="175" spans="1:34" s="68" customFormat="1" ht="23.25" hidden="1">
      <c r="A175" s="59"/>
      <c r="B175" s="60"/>
      <c r="C175" s="60"/>
      <c r="D175" s="60"/>
      <c r="E175" s="145" t="s">
        <v>436</v>
      </c>
      <c r="F175" s="62"/>
      <c r="G175" s="62"/>
      <c r="H175" s="62"/>
      <c r="I175" s="62"/>
      <c r="J175" s="63">
        <f>3319.07+600</f>
        <v>3919.07</v>
      </c>
      <c r="K175" s="319"/>
      <c r="L175" s="63">
        <f>SUM(J175:K175)</f>
        <v>3919.07</v>
      </c>
      <c r="M175" s="63"/>
      <c r="N175" s="63">
        <f>3319.07+600</f>
        <v>3919.07</v>
      </c>
      <c r="O175" s="340"/>
      <c r="P175" s="63">
        <f>3319.07+600</f>
        <v>3919.07</v>
      </c>
      <c r="Q175" s="63">
        <v>3919.07</v>
      </c>
      <c r="R175" s="336"/>
      <c r="S175" s="64"/>
      <c r="T175" s="33">
        <f t="shared" ref="T175:T187" si="109">SUM(Q175:S175)</f>
        <v>3919.07</v>
      </c>
      <c r="U175" s="33">
        <f>J175-Q175-S175</f>
        <v>0</v>
      </c>
      <c r="V175" s="33">
        <f>K175-R175</f>
        <v>0</v>
      </c>
      <c r="W175" s="33">
        <f t="shared" si="86"/>
        <v>0</v>
      </c>
      <c r="X175" s="33">
        <f>N175-Q175-S175</f>
        <v>0</v>
      </c>
      <c r="Y175" s="33">
        <f>O175-R175</f>
        <v>0</v>
      </c>
      <c r="Z175" s="33">
        <f t="shared" si="89"/>
        <v>0</v>
      </c>
      <c r="AA175" s="33">
        <v>400</v>
      </c>
      <c r="AB175" s="33"/>
      <c r="AC175" s="34">
        <f t="shared" si="91"/>
        <v>400</v>
      </c>
      <c r="AD175" s="317"/>
      <c r="AE175" s="34">
        <f t="shared" si="92"/>
        <v>400</v>
      </c>
      <c r="AF175" s="34"/>
      <c r="AG175" s="121"/>
      <c r="AH175" s="146"/>
    </row>
    <row r="176" spans="1:34" s="68" customFormat="1" ht="23.25" hidden="1">
      <c r="A176" s="59"/>
      <c r="B176" s="60"/>
      <c r="C176" s="60"/>
      <c r="D176" s="60"/>
      <c r="E176" s="145" t="s">
        <v>437</v>
      </c>
      <c r="F176" s="62"/>
      <c r="G176" s="62"/>
      <c r="H176" s="62"/>
      <c r="I176" s="62"/>
      <c r="J176" s="63">
        <v>4981.18</v>
      </c>
      <c r="K176" s="319"/>
      <c r="L176" s="63">
        <f>SUM(J176:K176)</f>
        <v>4981.18</v>
      </c>
      <c r="M176" s="63"/>
      <c r="N176" s="63">
        <v>4981.18</v>
      </c>
      <c r="O176" s="340"/>
      <c r="P176" s="63">
        <v>4981.18</v>
      </c>
      <c r="Q176" s="63">
        <v>4981.18</v>
      </c>
      <c r="R176" s="336"/>
      <c r="S176" s="64"/>
      <c r="T176" s="33">
        <f t="shared" si="109"/>
        <v>4981.18</v>
      </c>
      <c r="U176" s="33">
        <f>J176-Q176-S176</f>
        <v>0</v>
      </c>
      <c r="V176" s="33">
        <f>K176-R176</f>
        <v>0</v>
      </c>
      <c r="W176" s="33">
        <f t="shared" si="86"/>
        <v>0</v>
      </c>
      <c r="X176" s="33">
        <f>N176-Q176-S176</f>
        <v>0</v>
      </c>
      <c r="Y176" s="33">
        <f>O176-R176</f>
        <v>0</v>
      </c>
      <c r="Z176" s="33">
        <f t="shared" si="89"/>
        <v>0</v>
      </c>
      <c r="AA176" s="33"/>
      <c r="AB176" s="33"/>
      <c r="AC176" s="34">
        <f t="shared" si="91"/>
        <v>0</v>
      </c>
      <c r="AD176" s="317"/>
      <c r="AE176" s="34">
        <f t="shared" si="92"/>
        <v>0</v>
      </c>
      <c r="AF176" s="34"/>
      <c r="AG176" s="121"/>
      <c r="AH176" s="146"/>
    </row>
    <row r="177" spans="1:35" s="68" customFormat="1" ht="23.25" hidden="1">
      <c r="A177" s="59"/>
      <c r="B177" s="60"/>
      <c r="C177" s="60"/>
      <c r="D177" s="60"/>
      <c r="E177" s="145" t="s">
        <v>438</v>
      </c>
      <c r="F177" s="62"/>
      <c r="G177" s="62"/>
      <c r="H177" s="62"/>
      <c r="I177" s="62"/>
      <c r="J177" s="63">
        <v>4828.55</v>
      </c>
      <c r="K177" s="319"/>
      <c r="L177" s="63">
        <f>SUM(J177:K177)</f>
        <v>4828.55</v>
      </c>
      <c r="M177" s="63"/>
      <c r="N177" s="63">
        <v>4828.55</v>
      </c>
      <c r="O177" s="340"/>
      <c r="P177" s="63">
        <v>4828.55</v>
      </c>
      <c r="Q177" s="63">
        <f>3713.74+600</f>
        <v>4313.74</v>
      </c>
      <c r="R177" s="336"/>
      <c r="S177" s="64"/>
      <c r="T177" s="33">
        <f t="shared" si="109"/>
        <v>4313.74</v>
      </c>
      <c r="U177" s="33">
        <f>J177-Q177-S177</f>
        <v>514.8100000000004</v>
      </c>
      <c r="V177" s="33">
        <f>K177-R177</f>
        <v>0</v>
      </c>
      <c r="W177" s="33">
        <f t="shared" si="86"/>
        <v>514.8100000000004</v>
      </c>
      <c r="X177" s="33">
        <f>N177-Q177-S177</f>
        <v>514.8100000000004</v>
      </c>
      <c r="Y177" s="33">
        <f>O177-R177</f>
        <v>0</v>
      </c>
      <c r="Z177" s="33">
        <f t="shared" si="89"/>
        <v>514.8100000000004</v>
      </c>
      <c r="AA177" s="33"/>
      <c r="AB177" s="33">
        <v>514.80999999999995</v>
      </c>
      <c r="AC177" s="34">
        <f t="shared" si="91"/>
        <v>514.80999999999995</v>
      </c>
      <c r="AD177" s="317"/>
      <c r="AE177" s="34">
        <f t="shared" si="92"/>
        <v>514.80999999999995</v>
      </c>
      <c r="AF177" s="34"/>
      <c r="AG177" s="121"/>
      <c r="AH177" s="146"/>
    </row>
    <row r="178" spans="1:35" ht="23.25" hidden="1">
      <c r="A178" s="28">
        <v>13</v>
      </c>
      <c r="B178" s="147" t="s">
        <v>82</v>
      </c>
      <c r="C178" s="29" t="s">
        <v>439</v>
      </c>
      <c r="D178" s="29" t="s">
        <v>83</v>
      </c>
      <c r="E178" s="75" t="s">
        <v>440</v>
      </c>
      <c r="F178" s="127">
        <v>1</v>
      </c>
      <c r="G178" s="43"/>
      <c r="H178" s="43" t="s">
        <v>79</v>
      </c>
      <c r="I178" s="43" t="s">
        <v>79</v>
      </c>
      <c r="J178" s="78">
        <v>4202</v>
      </c>
      <c r="K178" s="324"/>
      <c r="L178" s="33">
        <f>SUM(J178:K178)</f>
        <v>4202</v>
      </c>
      <c r="M178" s="33"/>
      <c r="N178" s="78">
        <v>4202</v>
      </c>
      <c r="O178" s="339"/>
      <c r="P178" s="33">
        <f>SUM(N178:O178)</f>
        <v>4202</v>
      </c>
      <c r="Q178" s="33">
        <f>2150+250</f>
        <v>2400</v>
      </c>
      <c r="R178" s="323"/>
      <c r="S178" s="69"/>
      <c r="T178" s="33">
        <f t="shared" si="109"/>
        <v>2400</v>
      </c>
      <c r="U178" s="33">
        <f>J178-Q178-S178</f>
        <v>1802</v>
      </c>
      <c r="V178" s="33">
        <f>K178-R178</f>
        <v>0</v>
      </c>
      <c r="W178" s="33">
        <f t="shared" si="86"/>
        <v>1802</v>
      </c>
      <c r="X178" s="33">
        <f>N178-Q178-S178</f>
        <v>1802</v>
      </c>
      <c r="Y178" s="33">
        <f>O178-R178</f>
        <v>0</v>
      </c>
      <c r="Z178" s="33">
        <f t="shared" si="89"/>
        <v>1802</v>
      </c>
      <c r="AA178" s="33"/>
      <c r="AB178" s="33">
        <v>150</v>
      </c>
      <c r="AC178" s="34">
        <f t="shared" si="91"/>
        <v>150</v>
      </c>
      <c r="AD178" s="317"/>
      <c r="AE178" s="34">
        <f t="shared" si="92"/>
        <v>150</v>
      </c>
      <c r="AF178" s="34"/>
      <c r="AG178" s="90"/>
      <c r="AH178" s="91"/>
    </row>
    <row r="179" spans="1:35" ht="23.25" hidden="1">
      <c r="A179" s="28">
        <v>14</v>
      </c>
      <c r="B179" s="29" t="s">
        <v>89</v>
      </c>
      <c r="C179" s="29" t="s">
        <v>441</v>
      </c>
      <c r="D179" s="29" t="s">
        <v>352</v>
      </c>
      <c r="E179" s="75" t="s">
        <v>442</v>
      </c>
      <c r="F179" s="127">
        <v>1</v>
      </c>
      <c r="G179" s="43"/>
      <c r="H179" s="43" t="s">
        <v>46</v>
      </c>
      <c r="I179" s="43" t="s">
        <v>46</v>
      </c>
      <c r="J179" s="89">
        <v>4999</v>
      </c>
      <c r="K179" s="331"/>
      <c r="L179" s="33">
        <f t="shared" ref="L179:L185" si="110">SUM(J179:K179)</f>
        <v>4999</v>
      </c>
      <c r="M179" s="33"/>
      <c r="N179" s="78">
        <v>4999</v>
      </c>
      <c r="O179" s="331"/>
      <c r="P179" s="33">
        <f>SUM(N179:O179)</f>
        <v>4999</v>
      </c>
      <c r="Q179" s="33">
        <f>1500+200</f>
        <v>1700</v>
      </c>
      <c r="R179" s="317"/>
      <c r="S179" s="33"/>
      <c r="T179" s="33">
        <f t="shared" si="109"/>
        <v>1700</v>
      </c>
      <c r="U179" s="33">
        <f t="shared" ref="U179:U186" si="111">J179-Q179-S179</f>
        <v>3299</v>
      </c>
      <c r="V179" s="33">
        <f t="shared" ref="V179:V186" si="112">K179-R179</f>
        <v>0</v>
      </c>
      <c r="W179" s="33">
        <f t="shared" si="86"/>
        <v>3299</v>
      </c>
      <c r="X179" s="33">
        <f t="shared" ref="X179:X186" si="113">N179-Q179-S179</f>
        <v>3299</v>
      </c>
      <c r="Y179" s="33">
        <f t="shared" ref="Y179:Y186" si="114">O179-R179</f>
        <v>0</v>
      </c>
      <c r="Z179" s="33">
        <f t="shared" si="89"/>
        <v>3299</v>
      </c>
      <c r="AA179" s="33"/>
      <c r="AB179" s="33">
        <v>150</v>
      </c>
      <c r="AC179" s="34">
        <f t="shared" si="91"/>
        <v>150</v>
      </c>
      <c r="AD179" s="317"/>
      <c r="AE179" s="34">
        <f t="shared" si="92"/>
        <v>150</v>
      </c>
      <c r="AF179" s="34"/>
      <c r="AG179" s="88"/>
      <c r="AH179" s="46"/>
    </row>
    <row r="180" spans="1:35" ht="23.25" hidden="1">
      <c r="A180" s="28">
        <v>15</v>
      </c>
      <c r="B180" s="29" t="s">
        <v>443</v>
      </c>
      <c r="C180" s="29" t="s">
        <v>444</v>
      </c>
      <c r="D180" s="29" t="s">
        <v>83</v>
      </c>
      <c r="E180" s="75" t="s">
        <v>445</v>
      </c>
      <c r="F180" s="127">
        <v>1</v>
      </c>
      <c r="G180" s="70"/>
      <c r="H180" s="70" t="s">
        <v>49</v>
      </c>
      <c r="I180" s="70" t="s">
        <v>49</v>
      </c>
      <c r="J180" s="89">
        <v>2919</v>
      </c>
      <c r="K180" s="320"/>
      <c r="L180" s="33">
        <f t="shared" si="110"/>
        <v>2919</v>
      </c>
      <c r="M180" s="33"/>
      <c r="N180" s="89">
        <v>2919</v>
      </c>
      <c r="O180" s="320"/>
      <c r="P180" s="33">
        <f>N180+O180</f>
        <v>2919</v>
      </c>
      <c r="Q180" s="33">
        <f>200+150</f>
        <v>350</v>
      </c>
      <c r="R180" s="317"/>
      <c r="S180" s="33"/>
      <c r="T180" s="33">
        <f t="shared" si="109"/>
        <v>350</v>
      </c>
      <c r="U180" s="33">
        <f t="shared" si="111"/>
        <v>2569</v>
      </c>
      <c r="V180" s="33">
        <f t="shared" si="112"/>
        <v>0</v>
      </c>
      <c r="W180" s="33">
        <f t="shared" si="86"/>
        <v>2569</v>
      </c>
      <c r="X180" s="33">
        <f t="shared" si="113"/>
        <v>2569</v>
      </c>
      <c r="Y180" s="33">
        <f t="shared" si="114"/>
        <v>0</v>
      </c>
      <c r="Z180" s="33">
        <f t="shared" si="89"/>
        <v>2569</v>
      </c>
      <c r="AA180" s="33"/>
      <c r="AB180" s="33">
        <v>100</v>
      </c>
      <c r="AC180" s="34">
        <f t="shared" si="91"/>
        <v>100</v>
      </c>
      <c r="AD180" s="317"/>
      <c r="AE180" s="34">
        <f t="shared" si="92"/>
        <v>100</v>
      </c>
      <c r="AF180" s="34"/>
      <c r="AG180" s="88"/>
      <c r="AH180" s="46"/>
    </row>
    <row r="181" spans="1:35" ht="23.25" hidden="1">
      <c r="A181" s="28">
        <v>16</v>
      </c>
      <c r="B181" s="29" t="s">
        <v>357</v>
      </c>
      <c r="C181" s="29" t="s">
        <v>446</v>
      </c>
      <c r="D181" s="29" t="s">
        <v>83</v>
      </c>
      <c r="E181" s="30" t="s">
        <v>447</v>
      </c>
      <c r="F181" s="127">
        <v>1</v>
      </c>
      <c r="G181" s="70"/>
      <c r="H181" s="70" t="s">
        <v>49</v>
      </c>
      <c r="I181" s="70" t="s">
        <v>49</v>
      </c>
      <c r="J181" s="89">
        <v>976</v>
      </c>
      <c r="K181" s="320"/>
      <c r="L181" s="33">
        <f t="shared" si="110"/>
        <v>976</v>
      </c>
      <c r="M181" s="33"/>
      <c r="N181" s="89">
        <v>969</v>
      </c>
      <c r="O181" s="320"/>
      <c r="P181" s="33">
        <f>N181+O181</f>
        <v>969</v>
      </c>
      <c r="Q181" s="33">
        <f>300+250</f>
        <v>550</v>
      </c>
      <c r="R181" s="317"/>
      <c r="S181" s="33"/>
      <c r="T181" s="33">
        <f t="shared" si="109"/>
        <v>550</v>
      </c>
      <c r="U181" s="33">
        <f t="shared" si="111"/>
        <v>426</v>
      </c>
      <c r="V181" s="33">
        <f t="shared" si="112"/>
        <v>0</v>
      </c>
      <c r="W181" s="33">
        <f t="shared" si="86"/>
        <v>426</v>
      </c>
      <c r="X181" s="33">
        <f t="shared" si="113"/>
        <v>419</v>
      </c>
      <c r="Y181" s="33">
        <f t="shared" si="114"/>
        <v>0</v>
      </c>
      <c r="Z181" s="33">
        <f t="shared" si="89"/>
        <v>419</v>
      </c>
      <c r="AA181" s="33"/>
      <c r="AB181" s="33">
        <v>100</v>
      </c>
      <c r="AC181" s="34">
        <f t="shared" si="91"/>
        <v>100</v>
      </c>
      <c r="AD181" s="317"/>
      <c r="AE181" s="34">
        <f t="shared" si="92"/>
        <v>100</v>
      </c>
      <c r="AF181" s="34"/>
      <c r="AG181" s="88"/>
      <c r="AH181" s="46"/>
    </row>
    <row r="182" spans="1:35" ht="23.25" hidden="1">
      <c r="A182" s="28">
        <v>17</v>
      </c>
      <c r="B182" s="29" t="s">
        <v>299</v>
      </c>
      <c r="C182" s="29" t="s">
        <v>448</v>
      </c>
      <c r="D182" s="29" t="s">
        <v>229</v>
      </c>
      <c r="E182" s="75" t="s">
        <v>449</v>
      </c>
      <c r="F182" s="127">
        <v>1</v>
      </c>
      <c r="G182" s="70"/>
      <c r="H182" s="70" t="s">
        <v>49</v>
      </c>
      <c r="I182" s="70" t="s">
        <v>49</v>
      </c>
      <c r="J182" s="89">
        <v>1964</v>
      </c>
      <c r="K182" s="320"/>
      <c r="L182" s="33">
        <f t="shared" si="110"/>
        <v>1964</v>
      </c>
      <c r="M182" s="33"/>
      <c r="N182" s="89">
        <v>1964</v>
      </c>
      <c r="O182" s="320"/>
      <c r="P182" s="33">
        <f>N182+O182</f>
        <v>1964</v>
      </c>
      <c r="Q182" s="33">
        <f>100+150</f>
        <v>250</v>
      </c>
      <c r="R182" s="317"/>
      <c r="S182" s="33"/>
      <c r="T182" s="33">
        <f t="shared" si="109"/>
        <v>250</v>
      </c>
      <c r="U182" s="33">
        <f t="shared" si="111"/>
        <v>1714</v>
      </c>
      <c r="V182" s="33">
        <f t="shared" si="112"/>
        <v>0</v>
      </c>
      <c r="W182" s="33">
        <f t="shared" si="86"/>
        <v>1714</v>
      </c>
      <c r="X182" s="33">
        <f t="shared" si="113"/>
        <v>1714</v>
      </c>
      <c r="Y182" s="33">
        <f t="shared" si="114"/>
        <v>0</v>
      </c>
      <c r="Z182" s="33">
        <f t="shared" si="89"/>
        <v>1714</v>
      </c>
      <c r="AA182" s="33"/>
      <c r="AB182" s="33">
        <v>100</v>
      </c>
      <c r="AC182" s="34">
        <f t="shared" si="91"/>
        <v>100</v>
      </c>
      <c r="AD182" s="317"/>
      <c r="AE182" s="34">
        <f t="shared" si="92"/>
        <v>100</v>
      </c>
      <c r="AF182" s="34"/>
      <c r="AG182" s="88"/>
      <c r="AH182" s="46"/>
    </row>
    <row r="183" spans="1:35" ht="23.25" hidden="1">
      <c r="A183" s="28">
        <v>18</v>
      </c>
      <c r="B183" s="29" t="s">
        <v>89</v>
      </c>
      <c r="C183" s="29" t="s">
        <v>450</v>
      </c>
      <c r="D183" s="29" t="s">
        <v>83</v>
      </c>
      <c r="E183" s="75" t="s">
        <v>451</v>
      </c>
      <c r="F183" s="127">
        <v>1</v>
      </c>
      <c r="G183" s="43"/>
      <c r="H183" s="43" t="s">
        <v>46</v>
      </c>
      <c r="I183" s="43" t="s">
        <v>46</v>
      </c>
      <c r="J183" s="89">
        <v>3100</v>
      </c>
      <c r="K183" s="331"/>
      <c r="L183" s="33">
        <f t="shared" si="110"/>
        <v>3100</v>
      </c>
      <c r="M183" s="33"/>
      <c r="N183" s="78">
        <v>3100</v>
      </c>
      <c r="O183" s="331"/>
      <c r="P183" s="33">
        <f>SUM(N183:O183)</f>
        <v>3100</v>
      </c>
      <c r="Q183" s="33">
        <f>350+200</f>
        <v>550</v>
      </c>
      <c r="R183" s="317"/>
      <c r="S183" s="33"/>
      <c r="T183" s="33">
        <f t="shared" si="109"/>
        <v>550</v>
      </c>
      <c r="U183" s="33">
        <f t="shared" si="111"/>
        <v>2550</v>
      </c>
      <c r="V183" s="33">
        <f t="shared" si="112"/>
        <v>0</v>
      </c>
      <c r="W183" s="33">
        <f t="shared" si="86"/>
        <v>2550</v>
      </c>
      <c r="X183" s="33">
        <f t="shared" si="113"/>
        <v>2550</v>
      </c>
      <c r="Y183" s="33">
        <f t="shared" si="114"/>
        <v>0</v>
      </c>
      <c r="Z183" s="33">
        <f t="shared" si="89"/>
        <v>2550</v>
      </c>
      <c r="AA183" s="33"/>
      <c r="AB183" s="33">
        <v>100</v>
      </c>
      <c r="AC183" s="34">
        <f t="shared" si="91"/>
        <v>100</v>
      </c>
      <c r="AD183" s="317"/>
      <c r="AE183" s="34">
        <f t="shared" si="92"/>
        <v>100</v>
      </c>
      <c r="AF183" s="34"/>
      <c r="AG183" s="88"/>
      <c r="AH183" s="46"/>
    </row>
    <row r="184" spans="1:35" ht="23.25" hidden="1">
      <c r="A184" s="28">
        <v>19</v>
      </c>
      <c r="B184" s="29" t="s">
        <v>82</v>
      </c>
      <c r="C184" s="29" t="s">
        <v>452</v>
      </c>
      <c r="D184" s="29" t="s">
        <v>83</v>
      </c>
      <c r="E184" s="75" t="s">
        <v>453</v>
      </c>
      <c r="F184" s="127">
        <v>1</v>
      </c>
      <c r="G184" s="43"/>
      <c r="H184" s="43" t="s">
        <v>46</v>
      </c>
      <c r="I184" s="43" t="s">
        <v>46</v>
      </c>
      <c r="J184" s="89">
        <v>4936</v>
      </c>
      <c r="K184" s="320"/>
      <c r="L184" s="33">
        <f t="shared" si="110"/>
        <v>4936</v>
      </c>
      <c r="M184" s="33"/>
      <c r="N184" s="78">
        <v>4936</v>
      </c>
      <c r="O184" s="320"/>
      <c r="P184" s="33">
        <f>SUM(N184:O184)</f>
        <v>4936</v>
      </c>
      <c r="Q184" s="33">
        <f>600+150</f>
        <v>750</v>
      </c>
      <c r="R184" s="317"/>
      <c r="S184" s="33"/>
      <c r="T184" s="33">
        <f t="shared" si="109"/>
        <v>750</v>
      </c>
      <c r="U184" s="33">
        <f t="shared" si="111"/>
        <v>4186</v>
      </c>
      <c r="V184" s="33">
        <f t="shared" si="112"/>
        <v>0</v>
      </c>
      <c r="W184" s="33">
        <f t="shared" si="86"/>
        <v>4186</v>
      </c>
      <c r="X184" s="33">
        <f t="shared" si="113"/>
        <v>4186</v>
      </c>
      <c r="Y184" s="33">
        <f t="shared" si="114"/>
        <v>0</v>
      </c>
      <c r="Z184" s="33">
        <f t="shared" si="89"/>
        <v>4186</v>
      </c>
      <c r="AA184" s="33"/>
      <c r="AB184" s="33">
        <v>100</v>
      </c>
      <c r="AC184" s="34">
        <f t="shared" si="91"/>
        <v>100</v>
      </c>
      <c r="AD184" s="317"/>
      <c r="AE184" s="34">
        <f t="shared" si="92"/>
        <v>100</v>
      </c>
      <c r="AF184" s="34"/>
      <c r="AG184" s="88"/>
      <c r="AH184" s="46"/>
    </row>
    <row r="185" spans="1:35" ht="23.25" hidden="1">
      <c r="A185" s="28">
        <v>20</v>
      </c>
      <c r="B185" s="29" t="s">
        <v>336</v>
      </c>
      <c r="C185" s="29" t="s">
        <v>454</v>
      </c>
      <c r="D185" s="29" t="s">
        <v>60</v>
      </c>
      <c r="E185" s="148" t="s">
        <v>455</v>
      </c>
      <c r="F185" s="127">
        <v>1</v>
      </c>
      <c r="G185" s="43"/>
      <c r="H185" s="43" t="s">
        <v>46</v>
      </c>
      <c r="I185" s="43" t="s">
        <v>46</v>
      </c>
      <c r="J185" s="73">
        <v>3000</v>
      </c>
      <c r="K185" s="320"/>
      <c r="L185" s="33">
        <f t="shared" si="110"/>
        <v>3000</v>
      </c>
      <c r="M185" s="33"/>
      <c r="N185" s="73">
        <v>2996.8</v>
      </c>
      <c r="O185" s="320"/>
      <c r="P185" s="33">
        <f>SUM(N185:O185)</f>
        <v>2996.8</v>
      </c>
      <c r="Q185" s="33">
        <f>2250+300</f>
        <v>2550</v>
      </c>
      <c r="R185" s="317"/>
      <c r="S185" s="33"/>
      <c r="T185" s="33">
        <f t="shared" si="109"/>
        <v>2550</v>
      </c>
      <c r="U185" s="33">
        <f t="shared" si="111"/>
        <v>450</v>
      </c>
      <c r="V185" s="33">
        <f t="shared" si="112"/>
        <v>0</v>
      </c>
      <c r="W185" s="33">
        <f t="shared" si="86"/>
        <v>450</v>
      </c>
      <c r="X185" s="33">
        <f t="shared" si="113"/>
        <v>446.80000000000018</v>
      </c>
      <c r="Y185" s="33">
        <f t="shared" si="114"/>
        <v>0</v>
      </c>
      <c r="Z185" s="33">
        <f t="shared" si="89"/>
        <v>446.80000000000018</v>
      </c>
      <c r="AA185" s="33"/>
      <c r="AB185" s="33">
        <v>100</v>
      </c>
      <c r="AC185" s="34">
        <f t="shared" si="91"/>
        <v>100</v>
      </c>
      <c r="AD185" s="317"/>
      <c r="AE185" s="34">
        <f t="shared" si="92"/>
        <v>100</v>
      </c>
      <c r="AF185" s="34"/>
      <c r="AG185" s="88"/>
      <c r="AH185" s="46"/>
    </row>
    <row r="186" spans="1:35" ht="23.25" hidden="1">
      <c r="A186" s="28">
        <v>21</v>
      </c>
      <c r="B186" s="29" t="s">
        <v>383</v>
      </c>
      <c r="C186" s="29" t="s">
        <v>456</v>
      </c>
      <c r="D186" s="29" t="s">
        <v>83</v>
      </c>
      <c r="E186" s="47" t="s">
        <v>457</v>
      </c>
      <c r="F186" s="127">
        <v>1</v>
      </c>
      <c r="G186" s="43"/>
      <c r="H186" s="43" t="s">
        <v>46</v>
      </c>
      <c r="I186" s="43" t="s">
        <v>46</v>
      </c>
      <c r="J186" s="89">
        <v>2300</v>
      </c>
      <c r="K186" s="333"/>
      <c r="L186" s="33">
        <f>SUM(J186:K186)</f>
        <v>2300</v>
      </c>
      <c r="M186" s="33"/>
      <c r="N186" s="78">
        <v>2300</v>
      </c>
      <c r="O186" s="333"/>
      <c r="P186" s="33">
        <f>SUM(N186:O186)</f>
        <v>2300</v>
      </c>
      <c r="Q186" s="33">
        <f>600+200</f>
        <v>800</v>
      </c>
      <c r="R186" s="317"/>
      <c r="S186" s="33"/>
      <c r="T186" s="33">
        <f t="shared" si="109"/>
        <v>800</v>
      </c>
      <c r="U186" s="33">
        <f t="shared" si="111"/>
        <v>1500</v>
      </c>
      <c r="V186" s="33">
        <f t="shared" si="112"/>
        <v>0</v>
      </c>
      <c r="W186" s="33">
        <f t="shared" si="86"/>
        <v>1500</v>
      </c>
      <c r="X186" s="33">
        <f t="shared" si="113"/>
        <v>1500</v>
      </c>
      <c r="Y186" s="33">
        <f t="shared" si="114"/>
        <v>0</v>
      </c>
      <c r="Z186" s="33">
        <f t="shared" si="89"/>
        <v>1500</v>
      </c>
      <c r="AA186" s="33"/>
      <c r="AB186" s="33">
        <v>100</v>
      </c>
      <c r="AC186" s="34">
        <f t="shared" si="91"/>
        <v>100</v>
      </c>
      <c r="AD186" s="317"/>
      <c r="AE186" s="34">
        <f t="shared" si="92"/>
        <v>100</v>
      </c>
      <c r="AF186" s="34"/>
      <c r="AG186" s="88"/>
      <c r="AH186" s="46"/>
    </row>
    <row r="187" spans="1:35" ht="24" hidden="1" thickBot="1">
      <c r="A187" s="114">
        <v>22</v>
      </c>
      <c r="B187" s="357" t="s">
        <v>386</v>
      </c>
      <c r="C187" s="357" t="s">
        <v>458</v>
      </c>
      <c r="D187" s="357" t="s">
        <v>83</v>
      </c>
      <c r="E187" s="358" t="s">
        <v>459</v>
      </c>
      <c r="F187" s="359">
        <v>1</v>
      </c>
      <c r="G187" s="103"/>
      <c r="H187" s="360" t="s">
        <v>103</v>
      </c>
      <c r="I187" s="360" t="s">
        <v>103</v>
      </c>
      <c r="J187" s="361">
        <v>8300</v>
      </c>
      <c r="K187" s="362"/>
      <c r="L187" s="363">
        <f>SUM(J187:K187)</f>
        <v>8300</v>
      </c>
      <c r="M187" s="76"/>
      <c r="N187" s="361">
        <v>8297.84</v>
      </c>
      <c r="O187" s="364"/>
      <c r="P187" s="363">
        <f>SUM(N187:O187)</f>
        <v>8297.84</v>
      </c>
      <c r="Q187" s="363">
        <f>3687.36+3000</f>
        <v>6687.3600000000006</v>
      </c>
      <c r="R187" s="365"/>
      <c r="S187" s="366"/>
      <c r="T187" s="363">
        <f t="shared" si="109"/>
        <v>6687.3600000000006</v>
      </c>
      <c r="U187" s="76">
        <f>J187-Q187-S187</f>
        <v>1612.6399999999994</v>
      </c>
      <c r="V187" s="76">
        <f>K187-R187</f>
        <v>0</v>
      </c>
      <c r="W187" s="76">
        <f t="shared" si="86"/>
        <v>1612.6399999999994</v>
      </c>
      <c r="X187" s="76">
        <f>N187-Q187-S187</f>
        <v>1610.4799999999996</v>
      </c>
      <c r="Y187" s="76">
        <f>O187-R187</f>
        <v>0</v>
      </c>
      <c r="Z187" s="76">
        <f t="shared" si="89"/>
        <v>1610.4799999999996</v>
      </c>
      <c r="AA187" s="363"/>
      <c r="AB187" s="363">
        <v>600</v>
      </c>
      <c r="AC187" s="367">
        <f t="shared" si="91"/>
        <v>600</v>
      </c>
      <c r="AD187" s="368"/>
      <c r="AE187" s="367">
        <f t="shared" si="92"/>
        <v>600</v>
      </c>
      <c r="AF187" s="82"/>
      <c r="AG187" s="369"/>
      <c r="AH187" s="370"/>
    </row>
    <row r="188" spans="1:35" ht="36" customHeight="1">
      <c r="A188" s="495" t="s">
        <v>512</v>
      </c>
      <c r="B188" s="496"/>
      <c r="C188" s="496"/>
      <c r="D188" s="496"/>
      <c r="E188" s="497"/>
      <c r="F188" s="373"/>
      <c r="G188" s="150"/>
      <c r="H188" s="373"/>
      <c r="I188" s="373"/>
      <c r="J188" s="374">
        <f>SUBTOTAL(9,J10:J26)</f>
        <v>2770.94</v>
      </c>
      <c r="K188" s="374">
        <f>SUBTOTAL(9,K10:K26)</f>
        <v>4221.62</v>
      </c>
      <c r="L188" s="374">
        <f t="shared" ref="L188:N188" si="115">SUBTOTAL(9,L10:L26)</f>
        <v>6992.56</v>
      </c>
      <c r="M188" s="371">
        <f t="shared" si="115"/>
        <v>0</v>
      </c>
      <c r="N188" s="374">
        <f t="shared" si="115"/>
        <v>1000</v>
      </c>
      <c r="O188" s="374">
        <f t="shared" ref="O188:AE188" si="116">SUBTOTAL(9,O10:O26)</f>
        <v>1325.78</v>
      </c>
      <c r="P188" s="374">
        <f t="shared" si="116"/>
        <v>2325.7799999999997</v>
      </c>
      <c r="Q188" s="374">
        <f t="shared" si="116"/>
        <v>1000</v>
      </c>
      <c r="R188" s="374">
        <f t="shared" si="116"/>
        <v>1325.78</v>
      </c>
      <c r="S188" s="374">
        <f t="shared" si="116"/>
        <v>0</v>
      </c>
      <c r="T188" s="374">
        <f t="shared" si="116"/>
        <v>2325.7799999999997</v>
      </c>
      <c r="U188" s="371">
        <f t="shared" si="116"/>
        <v>210</v>
      </c>
      <c r="V188" s="371">
        <f t="shared" si="116"/>
        <v>1215.6400000000001</v>
      </c>
      <c r="W188" s="371">
        <f t="shared" si="116"/>
        <v>1425.64</v>
      </c>
      <c r="X188" s="371">
        <f t="shared" si="116"/>
        <v>0</v>
      </c>
      <c r="Y188" s="371">
        <f t="shared" si="116"/>
        <v>0</v>
      </c>
      <c r="Z188" s="371">
        <f t="shared" si="116"/>
        <v>0</v>
      </c>
      <c r="AA188" s="374">
        <f t="shared" si="116"/>
        <v>100</v>
      </c>
      <c r="AB188" s="374">
        <f t="shared" si="116"/>
        <v>400</v>
      </c>
      <c r="AC188" s="374">
        <f t="shared" si="116"/>
        <v>500</v>
      </c>
      <c r="AD188" s="388">
        <f t="shared" si="116"/>
        <v>0</v>
      </c>
      <c r="AE188" s="374">
        <f t="shared" si="116"/>
        <v>500</v>
      </c>
      <c r="AF188" s="150"/>
      <c r="AG188" s="372"/>
      <c r="AH188" s="372"/>
    </row>
    <row r="189" spans="1:35" ht="27.75" hidden="1" customHeight="1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334"/>
      <c r="L189" s="150"/>
      <c r="M189" s="150"/>
      <c r="N189" s="150"/>
      <c r="O189" s="334"/>
      <c r="P189" s="150"/>
      <c r="Q189" s="150"/>
      <c r="R189" s="341" t="s">
        <v>463</v>
      </c>
      <c r="S189" s="156"/>
      <c r="T189" s="157"/>
      <c r="U189" s="158"/>
      <c r="V189" s="159"/>
      <c r="W189" s="160"/>
      <c r="X189" s="159"/>
      <c r="Y189" s="159"/>
      <c r="Z189" s="159"/>
      <c r="AA189" s="158"/>
      <c r="AB189" s="152"/>
      <c r="AC189" s="153"/>
      <c r="AD189" s="342"/>
      <c r="AE189" s="152"/>
      <c r="AF189" s="152"/>
      <c r="AG189" s="154"/>
      <c r="AH189" s="151"/>
      <c r="AI189" s="151"/>
    </row>
    <row r="190" spans="1:35" ht="24.75" hidden="1" customHeight="1">
      <c r="A190" s="149"/>
      <c r="B190" s="150"/>
      <c r="C190" s="150"/>
      <c r="D190" s="150"/>
      <c r="E190" s="150"/>
      <c r="F190" s="150"/>
      <c r="G190" s="150"/>
      <c r="H190" s="150"/>
      <c r="I190" s="150"/>
      <c r="J190" s="150"/>
      <c r="K190" s="334"/>
      <c r="L190" s="150"/>
      <c r="M190" s="150"/>
      <c r="N190" s="150"/>
      <c r="O190" s="334"/>
      <c r="P190" s="150"/>
      <c r="Q190" s="150"/>
      <c r="R190" s="342"/>
      <c r="S190" s="159"/>
      <c r="T190" s="159"/>
      <c r="U190" s="159"/>
      <c r="V190" s="159"/>
      <c r="W190" s="161"/>
      <c r="X190" s="162"/>
      <c r="Y190" s="162"/>
      <c r="Z190" s="162"/>
      <c r="AA190" s="163"/>
      <c r="AB190" s="150"/>
      <c r="AC190" s="150"/>
      <c r="AD190" s="334"/>
      <c r="AE190" s="150"/>
      <c r="AF190" s="150"/>
      <c r="AG190" s="150"/>
      <c r="AH190" s="150"/>
    </row>
    <row r="191" spans="1:35" ht="30.75" hidden="1" customHeight="1">
      <c r="A191" s="149"/>
      <c r="B191" s="150"/>
      <c r="C191" s="150"/>
      <c r="D191" s="150"/>
      <c r="E191" s="150"/>
      <c r="F191" s="150"/>
      <c r="G191" s="150"/>
      <c r="H191" s="150"/>
      <c r="I191" s="150"/>
      <c r="J191" s="150"/>
      <c r="K191" s="334"/>
      <c r="L191" s="150"/>
      <c r="M191" s="150"/>
      <c r="N191" s="150"/>
      <c r="O191" s="334"/>
      <c r="P191" s="150"/>
      <c r="Q191" s="150"/>
      <c r="R191" s="342"/>
      <c r="S191" s="164"/>
      <c r="T191" s="164"/>
      <c r="U191" s="164"/>
      <c r="V191" s="164"/>
      <c r="W191" s="164"/>
      <c r="X191" s="164"/>
      <c r="Y191" s="164"/>
      <c r="Z191" s="164"/>
      <c r="AA191" s="164" t="s">
        <v>464</v>
      </c>
      <c r="AB191" s="164"/>
      <c r="AC191" s="164"/>
      <c r="AD191" s="343"/>
      <c r="AE191" s="164"/>
      <c r="AF191" s="164"/>
      <c r="AG191" s="164"/>
      <c r="AH191" s="164"/>
      <c r="AI191" s="164"/>
    </row>
    <row r="192" spans="1:35" ht="30.75" hidden="1" customHeight="1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334"/>
      <c r="L192" s="150"/>
      <c r="M192" s="150"/>
      <c r="N192" s="150"/>
      <c r="O192" s="334"/>
      <c r="P192" s="150"/>
      <c r="Q192" s="150"/>
      <c r="R192" s="342"/>
      <c r="S192" s="164"/>
      <c r="T192" s="164"/>
      <c r="U192" s="164"/>
      <c r="V192" s="164"/>
      <c r="W192" s="164"/>
      <c r="X192" s="164"/>
      <c r="Y192" s="164"/>
      <c r="Z192" s="164"/>
      <c r="AA192" s="164" t="s">
        <v>465</v>
      </c>
      <c r="AB192" s="165"/>
      <c r="AC192" s="164"/>
      <c r="AD192" s="343"/>
      <c r="AE192" s="164"/>
      <c r="AF192" s="164"/>
      <c r="AG192" s="164"/>
      <c r="AH192" s="164"/>
      <c r="AI192" s="164"/>
    </row>
    <row r="193" spans="1:35" ht="30.75" customHeight="1">
      <c r="A193" s="149"/>
      <c r="B193" s="150"/>
      <c r="C193" s="150"/>
      <c r="D193" s="150"/>
      <c r="E193" s="150"/>
      <c r="F193" s="150"/>
      <c r="G193" s="150"/>
      <c r="H193" s="150"/>
      <c r="I193" s="150"/>
      <c r="J193" s="355"/>
      <c r="K193" s="355"/>
      <c r="L193" s="355"/>
      <c r="M193" s="150"/>
      <c r="N193" s="355"/>
      <c r="O193" s="355"/>
      <c r="P193" s="355"/>
      <c r="Q193" s="355"/>
      <c r="R193" s="355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389"/>
      <c r="AE193" s="164"/>
      <c r="AF193" s="164"/>
      <c r="AG193" s="164"/>
      <c r="AH193" s="164"/>
      <c r="AI193" s="164"/>
    </row>
    <row r="194" spans="1:35" ht="30.75" customHeight="1">
      <c r="A194" s="149"/>
      <c r="B194" s="150"/>
      <c r="C194" s="150"/>
      <c r="D194" s="150"/>
      <c r="E194" s="150"/>
      <c r="F194" s="150"/>
      <c r="G194" s="150"/>
      <c r="H194" s="150"/>
      <c r="I194" s="150"/>
      <c r="J194" s="355"/>
      <c r="K194" s="355"/>
      <c r="L194" s="355"/>
      <c r="M194" s="150"/>
      <c r="N194" s="355"/>
      <c r="O194" s="355"/>
      <c r="P194" s="355"/>
      <c r="Q194" s="355"/>
      <c r="R194" s="355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</row>
    <row r="195" spans="1:35" ht="30.75" customHeight="1">
      <c r="A195" s="149"/>
      <c r="B195" s="150"/>
      <c r="C195" s="150"/>
      <c r="D195" s="150"/>
      <c r="E195" s="150"/>
      <c r="F195" s="150"/>
      <c r="G195" s="150"/>
      <c r="H195" s="150"/>
      <c r="I195" s="150"/>
      <c r="J195" s="355"/>
      <c r="K195" s="355"/>
      <c r="L195" s="355"/>
      <c r="M195" s="150"/>
      <c r="N195" s="355"/>
      <c r="O195" s="355"/>
      <c r="P195" s="355"/>
      <c r="Q195" s="355"/>
      <c r="R195" s="355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</row>
    <row r="196" spans="1:35" ht="15" customHeight="1">
      <c r="A196" s="155"/>
      <c r="B196" s="155"/>
      <c r="C196" s="155"/>
      <c r="D196" s="155"/>
      <c r="E196" s="155"/>
      <c r="F196" s="155"/>
      <c r="G196" s="155"/>
      <c r="H196" s="155"/>
      <c r="I196" s="155"/>
      <c r="J196" s="356"/>
      <c r="K196" s="356"/>
      <c r="L196" s="356"/>
      <c r="M196" s="155"/>
      <c r="N196" s="356"/>
      <c r="O196" s="356"/>
      <c r="P196" s="356"/>
      <c r="Q196" s="356"/>
      <c r="R196" s="356"/>
      <c r="S196" s="356"/>
      <c r="T196" s="356"/>
      <c r="U196" s="155"/>
      <c r="V196" s="155"/>
      <c r="W196" s="155"/>
      <c r="X196" s="155"/>
      <c r="Y196" s="155"/>
      <c r="Z196" s="155"/>
      <c r="AA196" s="356"/>
      <c r="AB196" s="356"/>
      <c r="AC196" s="356"/>
      <c r="AD196" s="356"/>
      <c r="AE196" s="155"/>
      <c r="AF196" s="155"/>
      <c r="AG196" s="155"/>
      <c r="AH196" s="155"/>
    </row>
  </sheetData>
  <autoFilter ref="A9:WWT187">
    <filterColumn colId="10">
      <filters>
        <filter val="1,680.20"/>
        <filter val="2,541.42"/>
      </filters>
    </filterColumn>
  </autoFilter>
  <mergeCells count="46">
    <mergeCell ref="A2:AG2"/>
    <mergeCell ref="A3:AE3"/>
    <mergeCell ref="AD4:AH4"/>
    <mergeCell ref="A5:A8"/>
    <mergeCell ref="E5:E8"/>
    <mergeCell ref="F5:F8"/>
    <mergeCell ref="H5:I6"/>
    <mergeCell ref="J5:L6"/>
    <mergeCell ref="N5:P5"/>
    <mergeCell ref="Q5:T6"/>
    <mergeCell ref="AG5:AG6"/>
    <mergeCell ref="AH5:AH6"/>
    <mergeCell ref="G6:G8"/>
    <mergeCell ref="M6:M8"/>
    <mergeCell ref="N6:P6"/>
    <mergeCell ref="AA6:AC6"/>
    <mergeCell ref="AE6:AE8"/>
    <mergeCell ref="AF6:AF8"/>
    <mergeCell ref="H7:H8"/>
    <mergeCell ref="I7:I8"/>
    <mergeCell ref="J7:J8"/>
    <mergeCell ref="K7:K8"/>
    <mergeCell ref="L7:L8"/>
    <mergeCell ref="N7:N8"/>
    <mergeCell ref="O7:O8"/>
    <mergeCell ref="P7:P8"/>
    <mergeCell ref="U5:W6"/>
    <mergeCell ref="X5:Z6"/>
    <mergeCell ref="AA5:AE5"/>
    <mergeCell ref="Q7:Q8"/>
    <mergeCell ref="A188:E18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AC7:AC8"/>
    <mergeCell ref="AD6:AD8"/>
    <mergeCell ref="V7:V8"/>
  </mergeCells>
  <printOptions horizontalCentered="1"/>
  <pageMargins left="0" right="0" top="0" bottom="0.25" header="0" footer="0"/>
  <pageSetup paperSize="5" scale="47" orientation="landscape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ມູນຄ່າຫຼາຍກວ່າ 20ຕື້ກີບ</vt:lpstr>
      <vt:lpstr>ມູນຄ່າໜ້ອຍກວ່າ 20ຕື້ກີບ</vt:lpstr>
      <vt:lpstr>'ມູນຄ່າຫຼາຍກວ່າ 20ຕື້ກີບ'!Print_Area</vt:lpstr>
      <vt:lpstr>'ມູນຄ່າໜ້ອຍກວ່າ 20ຕື້ກີບ'!Print_Area</vt:lpstr>
      <vt:lpstr>'ມູນຄ່າຫຼາຍກວ່າ 20ຕື້ກີບ'!Print_Titles</vt:lpstr>
      <vt:lpstr>'ມູນຄ່າໜ້ອຍກວ່າ 20ຕື້ກີບ'!Print_Titles</vt:lpstr>
    </vt:vector>
  </TitlesOfParts>
  <Company>Office Black Edition - tum0r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Bou</cp:lastModifiedBy>
  <cp:lastPrinted>2017-03-22T08:55:22Z</cp:lastPrinted>
  <dcterms:created xsi:type="dcterms:W3CDTF">2016-11-07T03:44:24Z</dcterms:created>
  <dcterms:modified xsi:type="dcterms:W3CDTF">2017-03-27T04:24:33Z</dcterms:modified>
</cp:coreProperties>
</file>